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marie\Desktop\analyse sante financiere\DLA Actes If\"/>
    </mc:Choice>
  </mc:AlternateContent>
  <xr:revisionPtr revIDLastSave="0" documentId="13_ncr:1_{D6A6B9F3-DF51-4A6D-BDB8-6DAA1A873C0C}" xr6:coauthVersionLast="47" xr6:coauthVersionMax="47" xr10:uidLastSave="{00000000-0000-0000-0000-000000000000}"/>
  <bookViews>
    <workbookView xWindow="-28920" yWindow="-120" windowWidth="29040" windowHeight="15720" tabRatio="887" activeTab="4" xr2:uid="{00000000-000D-0000-FFFF-FFFF00000000}"/>
  </bookViews>
  <sheets>
    <sheet name="Données Générales" sheetId="1" r:id="rId1"/>
    <sheet name="Saisie comptes" sheetId="2" r:id="rId2"/>
    <sheet name="Pour aller plus loin..." sheetId="15" r:id="rId3"/>
    <sheet name="Synthèse analyse" sheetId="10" r:id="rId4"/>
    <sheet name="Courbes et graphiques" sheetId="16" r:id="rId5"/>
    <sheet name="Saisie budget prévisionnel" sheetId="12" r:id="rId6"/>
    <sheet name="Détails construc budget prev" sheetId="17" r:id="rId7"/>
    <sheet name="Saisie prévisionnel de tréso" sheetId="5" r:id="rId8"/>
    <sheet name="Saisie plan de financement" sheetId="11" r:id="rId9"/>
    <sheet name="Synthèse prévisionnels" sheetId="14" r:id="rId10"/>
    <sheet name="Feuil1" sheetId="13" state="hidden" r:id="rId11"/>
  </sheets>
  <externalReferences>
    <externalReference r:id="rId12"/>
  </externalReferences>
  <definedNames>
    <definedName name="Annee_N">'[1]Données générales'!$C$7</definedName>
    <definedName name="DC">'[1]Bilans passés'!$C$2:$C$28</definedName>
    <definedName name="Département">'[1]Bilans passés'!$A$2:$A$101</definedName>
    <definedName name="Fct">'[1]Bilans passés'!$E$2:$E$16</definedName>
    <definedName name="Réseau">'[1]Bilans passés'!$F$2:$F$42</definedName>
    <definedName name="Taux_TVA">'[1]Données générales'!$C$11</definedName>
    <definedName name="_xlnm.Print_Area" localSheetId="1">'Saisie comptes'!$B$1:$M$24</definedName>
    <definedName name="_xlnm.Print_Area" localSheetId="7">'Saisie prévisionnel de tréso'!$A$1:$A$167</definedName>
    <definedName name="_xlnm.Print_Area" localSheetId="3">'Synthèse analyse'!$A$1:$O$122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0" l="1"/>
  <c r="E52" i="10" s="1"/>
  <c r="F51" i="10"/>
  <c r="G51" i="10"/>
  <c r="H51" i="10"/>
  <c r="D51" i="10"/>
  <c r="F78" i="12" l="1"/>
  <c r="E92" i="12"/>
  <c r="L36" i="17"/>
  <c r="L31" i="17"/>
  <c r="L32" i="17"/>
  <c r="L33" i="17"/>
  <c r="L34" i="17"/>
  <c r="L35" i="17"/>
  <c r="K31" i="17"/>
  <c r="K32" i="17"/>
  <c r="K33" i="17"/>
  <c r="K34" i="17"/>
  <c r="K35" i="17"/>
  <c r="K30" i="17"/>
  <c r="L30" i="17" s="1"/>
  <c r="F9" i="17"/>
  <c r="E17" i="10" l="1"/>
  <c r="F17" i="10"/>
  <c r="G17" i="10"/>
  <c r="H17" i="10"/>
  <c r="D17" i="10"/>
  <c r="D35" i="2"/>
  <c r="J18" i="10"/>
  <c r="J17" i="10"/>
  <c r="J16" i="10"/>
  <c r="J15" i="10"/>
  <c r="J14" i="10"/>
  <c r="J50" i="2"/>
  <c r="J51" i="2"/>
  <c r="J52" i="2"/>
  <c r="J53" i="2"/>
  <c r="I53" i="2"/>
  <c r="I52" i="2"/>
  <c r="I51" i="2"/>
  <c r="I50" i="2"/>
  <c r="H62" i="2"/>
  <c r="G14" i="10"/>
  <c r="F62" i="2"/>
  <c r="E14" i="10"/>
  <c r="D14" i="10"/>
  <c r="H55" i="5"/>
  <c r="H56" i="5"/>
  <c r="H57" i="5"/>
  <c r="H58" i="5"/>
  <c r="H59" i="5"/>
  <c r="D53" i="5"/>
  <c r="D54" i="5"/>
  <c r="E54" i="5" s="1"/>
  <c r="D55" i="5"/>
  <c r="E55" i="5" s="1"/>
  <c r="G55" i="5" s="1"/>
  <c r="D56" i="5"/>
  <c r="D57" i="5"/>
  <c r="D58" i="5"/>
  <c r="D59" i="5"/>
  <c r="D60" i="5"/>
  <c r="D61" i="5"/>
  <c r="E61" i="5" s="1"/>
  <c r="D52" i="5"/>
  <c r="E52" i="5" s="1"/>
  <c r="D51" i="5"/>
  <c r="E51" i="5" s="1"/>
  <c r="A57" i="5"/>
  <c r="B57" i="5"/>
  <c r="A58" i="5"/>
  <c r="B58" i="5"/>
  <c r="A59" i="5"/>
  <c r="B59" i="5"/>
  <c r="A60" i="5"/>
  <c r="B60" i="5"/>
  <c r="A61" i="5"/>
  <c r="B61" i="5"/>
  <c r="B53" i="5"/>
  <c r="B54" i="5"/>
  <c r="B55" i="5"/>
  <c r="B56" i="5"/>
  <c r="A52" i="5"/>
  <c r="A53" i="5"/>
  <c r="A54" i="5"/>
  <c r="A55" i="5"/>
  <c r="A56" i="5"/>
  <c r="A51" i="5"/>
  <c r="B52" i="5"/>
  <c r="B51" i="5"/>
  <c r="F20" i="17"/>
  <c r="E16" i="17"/>
  <c r="E53" i="5" l="1"/>
  <c r="E60" i="5"/>
  <c r="E59" i="5"/>
  <c r="E58" i="5"/>
  <c r="G58" i="5" s="1"/>
  <c r="E57" i="5"/>
  <c r="G57" i="5" s="1"/>
  <c r="E56" i="5"/>
  <c r="G56" i="5" s="1"/>
  <c r="G62" i="2"/>
  <c r="D11" i="1" s="1"/>
  <c r="F14" i="10"/>
  <c r="I49" i="2"/>
  <c r="I48" i="2" s="1"/>
  <c r="E62" i="2"/>
  <c r="D62" i="2"/>
  <c r="J49" i="2"/>
  <c r="G27" i="2"/>
  <c r="H29" i="10" s="1"/>
  <c r="H82" i="10"/>
  <c r="H83" i="10" s="1"/>
  <c r="G82" i="10"/>
  <c r="F82" i="10"/>
  <c r="E82" i="10"/>
  <c r="D82" i="10"/>
  <c r="H80" i="10"/>
  <c r="H81" i="10" s="1"/>
  <c r="G80" i="10"/>
  <c r="F80" i="10"/>
  <c r="E80" i="10"/>
  <c r="D80" i="10"/>
  <c r="G83" i="10"/>
  <c r="H76" i="10"/>
  <c r="G76" i="10"/>
  <c r="F76" i="10"/>
  <c r="E76" i="10"/>
  <c r="F77" i="10" s="1"/>
  <c r="D76" i="10"/>
  <c r="H74" i="10"/>
  <c r="G74" i="10"/>
  <c r="F74" i="10"/>
  <c r="E74" i="10"/>
  <c r="D74" i="10"/>
  <c r="H75" i="10"/>
  <c r="H70" i="10"/>
  <c r="H71" i="10" s="1"/>
  <c r="G70" i="10"/>
  <c r="F70" i="10"/>
  <c r="E70" i="10"/>
  <c r="D70" i="10"/>
  <c r="H68" i="10"/>
  <c r="G68" i="10"/>
  <c r="F68" i="10"/>
  <c r="F69" i="10" s="1"/>
  <c r="E68" i="10"/>
  <c r="E69" i="10" s="1"/>
  <c r="D68" i="10"/>
  <c r="F62" i="10"/>
  <c r="G62" i="10"/>
  <c r="F61" i="10"/>
  <c r="H57" i="10"/>
  <c r="H58" i="10" s="1"/>
  <c r="G57" i="10"/>
  <c r="F57" i="10"/>
  <c r="G58" i="10"/>
  <c r="E57" i="10"/>
  <c r="E62" i="10" s="1"/>
  <c r="D57" i="10"/>
  <c r="D62" i="10" s="1"/>
  <c r="H55" i="10"/>
  <c r="H61" i="10" s="1"/>
  <c r="G55" i="10"/>
  <c r="G61" i="10" s="1"/>
  <c r="F55" i="10"/>
  <c r="E55" i="10"/>
  <c r="E61" i="10" s="1"/>
  <c r="D55" i="10"/>
  <c r="D61" i="10" s="1"/>
  <c r="D16" i="10"/>
  <c r="E15" i="10"/>
  <c r="I39" i="10"/>
  <c r="AJ13" i="15"/>
  <c r="AF13" i="15"/>
  <c r="AB13" i="15"/>
  <c r="P13" i="15"/>
  <c r="L13" i="15"/>
  <c r="H13" i="15"/>
  <c r="D13" i="15"/>
  <c r="N26" i="15"/>
  <c r="L26" i="15"/>
  <c r="R26" i="15" s="1"/>
  <c r="O25" i="15"/>
  <c r="R25" i="15" s="1"/>
  <c r="M25" i="15"/>
  <c r="O24" i="15"/>
  <c r="M24" i="15"/>
  <c r="O23" i="15"/>
  <c r="M23" i="15"/>
  <c r="O22" i="15"/>
  <c r="M22" i="15"/>
  <c r="O21" i="15"/>
  <c r="M21" i="15"/>
  <c r="O20" i="15"/>
  <c r="R20" i="15" s="1"/>
  <c r="M20" i="15"/>
  <c r="O19" i="15"/>
  <c r="M19" i="15"/>
  <c r="O18" i="15"/>
  <c r="R18" i="15" s="1"/>
  <c r="M18" i="15"/>
  <c r="P12" i="15"/>
  <c r="N12" i="15"/>
  <c r="L12" i="15"/>
  <c r="Q11" i="15"/>
  <c r="R11" i="15" s="1"/>
  <c r="O11" i="15"/>
  <c r="M11" i="15"/>
  <c r="Q10" i="15"/>
  <c r="R10" i="15" s="1"/>
  <c r="O10" i="15"/>
  <c r="M10" i="15"/>
  <c r="Q9" i="15"/>
  <c r="R9" i="15" s="1"/>
  <c r="O9" i="15"/>
  <c r="M9" i="15"/>
  <c r="Q8" i="15"/>
  <c r="R8" i="15" s="1"/>
  <c r="O8" i="15"/>
  <c r="M8" i="15"/>
  <c r="Q7" i="15"/>
  <c r="R7" i="15" s="1"/>
  <c r="O7" i="15"/>
  <c r="M7" i="15"/>
  <c r="F26" i="15"/>
  <c r="J26" i="15" s="1"/>
  <c r="D26" i="15"/>
  <c r="J25" i="15"/>
  <c r="G25" i="15"/>
  <c r="E25" i="15"/>
  <c r="G24" i="15"/>
  <c r="E24" i="15"/>
  <c r="G23" i="15"/>
  <c r="E23" i="15"/>
  <c r="G22" i="15"/>
  <c r="E22" i="15"/>
  <c r="G21" i="15"/>
  <c r="E21" i="15"/>
  <c r="G20" i="15"/>
  <c r="J20" i="15" s="1"/>
  <c r="E20" i="15"/>
  <c r="G19" i="15"/>
  <c r="E19" i="15"/>
  <c r="J18" i="15"/>
  <c r="G18" i="15"/>
  <c r="E18" i="15"/>
  <c r="J12" i="15"/>
  <c r="H12" i="15"/>
  <c r="F12" i="15"/>
  <c r="D12" i="15"/>
  <c r="I11" i="15"/>
  <c r="J11" i="15" s="1"/>
  <c r="G11" i="15"/>
  <c r="E11" i="15"/>
  <c r="J10" i="15"/>
  <c r="I10" i="15"/>
  <c r="G10" i="15"/>
  <c r="E10" i="15"/>
  <c r="I9" i="15"/>
  <c r="J9" i="15" s="1"/>
  <c r="G9" i="15"/>
  <c r="E9" i="15"/>
  <c r="J8" i="15"/>
  <c r="I8" i="15"/>
  <c r="G8" i="15"/>
  <c r="E8" i="15"/>
  <c r="I7" i="15"/>
  <c r="J7" i="15" s="1"/>
  <c r="G7" i="15"/>
  <c r="E7" i="15"/>
  <c r="AL26" i="15"/>
  <c r="AJ26" i="15"/>
  <c r="AN12" i="15"/>
  <c r="AL12" i="15"/>
  <c r="AJ12" i="15"/>
  <c r="AD26" i="15"/>
  <c r="AB26" i="15"/>
  <c r="AF12" i="15"/>
  <c r="AD12" i="15"/>
  <c r="AB12" i="15"/>
  <c r="F59" i="10"/>
  <c r="F71" i="10"/>
  <c r="F72" i="10"/>
  <c r="F78" i="10"/>
  <c r="F83" i="10"/>
  <c r="F84" i="10"/>
  <c r="F86" i="10"/>
  <c r="F53" i="10"/>
  <c r="E86" i="10"/>
  <c r="D86" i="10"/>
  <c r="E84" i="10"/>
  <c r="D84" i="10"/>
  <c r="E83" i="10"/>
  <c r="E78" i="10"/>
  <c r="D78" i="10"/>
  <c r="E72" i="10"/>
  <c r="D72" i="10"/>
  <c r="E60" i="10"/>
  <c r="D60" i="10"/>
  <c r="E53" i="10"/>
  <c r="D53" i="10"/>
  <c r="E18" i="10"/>
  <c r="D18" i="10"/>
  <c r="D15" i="10"/>
  <c r="D95" i="2"/>
  <c r="E95" i="2"/>
  <c r="D86" i="2"/>
  <c r="E86" i="2"/>
  <c r="D73" i="2"/>
  <c r="D77" i="2" s="1"/>
  <c r="D27" i="15" s="1"/>
  <c r="E73" i="2"/>
  <c r="E77" i="2" s="1"/>
  <c r="L27" i="15" s="1"/>
  <c r="E35" i="2"/>
  <c r="D27" i="2"/>
  <c r="E29" i="10" s="1"/>
  <c r="E27" i="2"/>
  <c r="F29" i="10" s="1"/>
  <c r="C18" i="2"/>
  <c r="D16" i="2"/>
  <c r="D9" i="2"/>
  <c r="D22" i="10" s="1"/>
  <c r="E9" i="2"/>
  <c r="E22" i="10" s="1"/>
  <c r="D19" i="12"/>
  <c r="E69" i="12" s="1"/>
  <c r="I9" i="17"/>
  <c r="I20" i="17" s="1"/>
  <c r="L9" i="17"/>
  <c r="L20" i="17" s="1"/>
  <c r="F12" i="17"/>
  <c r="I12" i="17"/>
  <c r="L12" i="17"/>
  <c r="F13" i="17"/>
  <c r="I13" i="17"/>
  <c r="L13" i="17"/>
  <c r="F14" i="17"/>
  <c r="I14" i="17"/>
  <c r="L14" i="17"/>
  <c r="F15" i="17"/>
  <c r="I15" i="17"/>
  <c r="L15" i="17"/>
  <c r="F16" i="17"/>
  <c r="F18" i="17"/>
  <c r="I18" i="17"/>
  <c r="L18" i="17"/>
  <c r="F19" i="17"/>
  <c r="I19" i="17"/>
  <c r="L19" i="17"/>
  <c r="F24" i="17"/>
  <c r="E70" i="12" s="1"/>
  <c r="D5" i="12"/>
  <c r="I24" i="17"/>
  <c r="F70" i="12" s="1"/>
  <c r="E5" i="12"/>
  <c r="L24" i="17"/>
  <c r="G70" i="12" s="1"/>
  <c r="G10" i="14" s="1"/>
  <c r="F5" i="12"/>
  <c r="D97" i="10"/>
  <c r="G77" i="10"/>
  <c r="H77" i="10"/>
  <c r="V26" i="15"/>
  <c r="T26" i="15"/>
  <c r="X12" i="15"/>
  <c r="X13" i="15" s="1"/>
  <c r="V12" i="15"/>
  <c r="T12" i="15"/>
  <c r="F16" i="10"/>
  <c r="D4" i="12"/>
  <c r="G15" i="10"/>
  <c r="H15" i="10"/>
  <c r="H35" i="2"/>
  <c r="H9" i="2"/>
  <c r="H22" i="10" s="1"/>
  <c r="G35" i="2"/>
  <c r="F27" i="2"/>
  <c r="H21" i="5"/>
  <c r="H22" i="5"/>
  <c r="H23" i="5"/>
  <c r="D22" i="5"/>
  <c r="G22" i="5" s="1"/>
  <c r="D23" i="5"/>
  <c r="E23" i="5" s="1"/>
  <c r="E155" i="5"/>
  <c r="F155" i="5"/>
  <c r="G155" i="5"/>
  <c r="H155" i="5"/>
  <c r="I155" i="5"/>
  <c r="J155" i="5"/>
  <c r="K155" i="5"/>
  <c r="Q155" i="5" s="1"/>
  <c r="L155" i="5"/>
  <c r="M155" i="5"/>
  <c r="N155" i="5"/>
  <c r="O155" i="5"/>
  <c r="D155" i="5"/>
  <c r="E36" i="12"/>
  <c r="F68" i="12" s="1"/>
  <c r="F36" i="12"/>
  <c r="G68" i="12" s="1"/>
  <c r="D36" i="12"/>
  <c r="E68" i="12" s="1"/>
  <c r="E27" i="12"/>
  <c r="F71" i="12" s="1"/>
  <c r="F27" i="12"/>
  <c r="G71" i="12" s="1"/>
  <c r="D27" i="12"/>
  <c r="E71" i="12" s="1"/>
  <c r="E19" i="12"/>
  <c r="F69" i="12" s="1"/>
  <c r="E49" i="11" s="1"/>
  <c r="F19" i="12"/>
  <c r="G69" i="12" s="1"/>
  <c r="F49" i="11" s="1"/>
  <c r="E31" i="14"/>
  <c r="F31" i="14"/>
  <c r="G31" i="14"/>
  <c r="E30" i="14"/>
  <c r="F30" i="14"/>
  <c r="G30" i="14"/>
  <c r="E28" i="14"/>
  <c r="J28" i="14" s="1"/>
  <c r="F28" i="14"/>
  <c r="K28" i="14" s="1"/>
  <c r="G28" i="14"/>
  <c r="E27" i="14"/>
  <c r="F27" i="14"/>
  <c r="G27" i="14"/>
  <c r="E20" i="14"/>
  <c r="F20" i="14"/>
  <c r="G20" i="14"/>
  <c r="E19" i="14"/>
  <c r="F19" i="14"/>
  <c r="G19" i="14"/>
  <c r="E17" i="14"/>
  <c r="J17" i="14" s="1"/>
  <c r="F17" i="14"/>
  <c r="G17" i="14"/>
  <c r="E18" i="14"/>
  <c r="F18" i="14"/>
  <c r="G18" i="14"/>
  <c r="E12" i="14"/>
  <c r="F12" i="14"/>
  <c r="J12" i="14" s="1"/>
  <c r="G12" i="14"/>
  <c r="K12" i="14" s="1"/>
  <c r="G86" i="10"/>
  <c r="H86" i="10"/>
  <c r="B7" i="14"/>
  <c r="B8" i="14"/>
  <c r="B9" i="14"/>
  <c r="B10" i="14"/>
  <c r="B11" i="14"/>
  <c r="B12" i="14"/>
  <c r="B13" i="14"/>
  <c r="B14" i="14"/>
  <c r="B15" i="14"/>
  <c r="B16" i="14"/>
  <c r="B17" i="14"/>
  <c r="B18" i="14"/>
  <c r="B19" i="14"/>
  <c r="B20" i="14"/>
  <c r="B21" i="14"/>
  <c r="B22" i="14"/>
  <c r="B23" i="14"/>
  <c r="B25" i="14"/>
  <c r="B27" i="14"/>
  <c r="B28" i="14"/>
  <c r="B29" i="14"/>
  <c r="B30" i="14"/>
  <c r="B31" i="14"/>
  <c r="B32" i="14"/>
  <c r="B34" i="14"/>
  <c r="B5" i="14"/>
  <c r="J31" i="14"/>
  <c r="G84" i="10"/>
  <c r="H84" i="10"/>
  <c r="G78" i="10"/>
  <c r="H78" i="10"/>
  <c r="G72" i="10"/>
  <c r="H72" i="10"/>
  <c r="G53" i="10"/>
  <c r="H53" i="10"/>
  <c r="G60" i="10"/>
  <c r="H60" i="10"/>
  <c r="F60" i="10"/>
  <c r="B56" i="14"/>
  <c r="B55" i="14"/>
  <c r="B53" i="14"/>
  <c r="F52" i="14"/>
  <c r="E52" i="14"/>
  <c r="D52" i="14"/>
  <c r="B52" i="14"/>
  <c r="B51" i="14"/>
  <c r="F50" i="14"/>
  <c r="E50" i="14"/>
  <c r="D50" i="14"/>
  <c r="B50" i="14"/>
  <c r="B49" i="14"/>
  <c r="B48" i="14"/>
  <c r="F47" i="14"/>
  <c r="E47" i="14"/>
  <c r="D47" i="14"/>
  <c r="B47" i="14"/>
  <c r="F46" i="14"/>
  <c r="E46" i="14"/>
  <c r="D46" i="14"/>
  <c r="B46" i="14"/>
  <c r="B44" i="14"/>
  <c r="B43" i="14"/>
  <c r="B42" i="14"/>
  <c r="B41" i="14"/>
  <c r="B40" i="14"/>
  <c r="G16" i="10"/>
  <c r="H16" i="10"/>
  <c r="F15" i="10"/>
  <c r="G18" i="10"/>
  <c r="H18" i="10"/>
  <c r="F18" i="10"/>
  <c r="E98" i="11"/>
  <c r="F98" i="11"/>
  <c r="D98" i="11"/>
  <c r="E81" i="11"/>
  <c r="B90" i="11"/>
  <c r="B89" i="11"/>
  <c r="B88" i="11"/>
  <c r="F81" i="11"/>
  <c r="D81" i="11"/>
  <c r="E58" i="11"/>
  <c r="F58" i="11"/>
  <c r="D58" i="11"/>
  <c r="E57" i="11"/>
  <c r="F57" i="11"/>
  <c r="D57" i="11"/>
  <c r="E56" i="11"/>
  <c r="F56" i="11"/>
  <c r="D56" i="11"/>
  <c r="J60" i="11"/>
  <c r="K60" i="11"/>
  <c r="I60" i="11"/>
  <c r="J58" i="11"/>
  <c r="K58" i="11"/>
  <c r="I58" i="11"/>
  <c r="H28" i="11"/>
  <c r="F82" i="11"/>
  <c r="D82" i="11"/>
  <c r="D83" i="11"/>
  <c r="E82" i="11"/>
  <c r="E83" i="11"/>
  <c r="F83" i="11"/>
  <c r="I28" i="11"/>
  <c r="H24" i="5"/>
  <c r="E13" i="11"/>
  <c r="E106" i="11"/>
  <c r="E40" i="14"/>
  <c r="F13" i="11"/>
  <c r="F106" i="11"/>
  <c r="F40" i="14"/>
  <c r="D13" i="11"/>
  <c r="D106" i="11"/>
  <c r="D40" i="14"/>
  <c r="D17" i="11"/>
  <c r="E17" i="11"/>
  <c r="F17" i="11"/>
  <c r="D18" i="11"/>
  <c r="E18" i="11"/>
  <c r="F18" i="11"/>
  <c r="D19" i="11"/>
  <c r="E19" i="11"/>
  <c r="F19" i="11"/>
  <c r="D20" i="11"/>
  <c r="E20" i="11"/>
  <c r="F20" i="11"/>
  <c r="F21" i="11"/>
  <c r="D21" i="11"/>
  <c r="E21" i="11"/>
  <c r="E59" i="12"/>
  <c r="E55" i="11" s="1"/>
  <c r="E61" i="11" s="1"/>
  <c r="F59" i="12"/>
  <c r="G78" i="12" s="1"/>
  <c r="D59" i="12"/>
  <c r="D11" i="5"/>
  <c r="G11" i="5" s="1"/>
  <c r="D12" i="5"/>
  <c r="G12" i="5" s="1"/>
  <c r="D13" i="5"/>
  <c r="E13" i="5" s="1"/>
  <c r="D14" i="5"/>
  <c r="E14" i="5" s="1"/>
  <c r="D15" i="5"/>
  <c r="D16" i="5"/>
  <c r="D17" i="5"/>
  <c r="D18" i="5"/>
  <c r="E18" i="5" s="1"/>
  <c r="D19" i="5"/>
  <c r="G19" i="5" s="1"/>
  <c r="D20" i="5"/>
  <c r="E20" i="5" s="1"/>
  <c r="D21" i="5"/>
  <c r="E21" i="5" s="1"/>
  <c r="D24" i="5"/>
  <c r="G24" i="5" s="1"/>
  <c r="D10" i="5"/>
  <c r="E10" i="5" s="1"/>
  <c r="G10" i="5" s="1"/>
  <c r="G73" i="2"/>
  <c r="G77" i="2" s="1"/>
  <c r="AB27" i="15" s="1"/>
  <c r="H73" i="2"/>
  <c r="D87" i="12" s="1"/>
  <c r="D21" i="14" s="1"/>
  <c r="F73" i="2"/>
  <c r="F77" i="2" s="1"/>
  <c r="D22" i="11"/>
  <c r="E89" i="12"/>
  <c r="E87" i="12" s="1"/>
  <c r="E21" i="14" s="1"/>
  <c r="F22" i="11"/>
  <c r="G89" i="12"/>
  <c r="G87" i="12" s="1"/>
  <c r="E22" i="11"/>
  <c r="F89" i="12"/>
  <c r="F87" i="12" s="1"/>
  <c r="F21" i="14" s="1"/>
  <c r="D111" i="12"/>
  <c r="D113" i="12"/>
  <c r="D114" i="12"/>
  <c r="D115" i="12"/>
  <c r="D75" i="12"/>
  <c r="D91" i="12"/>
  <c r="D98" i="12"/>
  <c r="D99" i="12"/>
  <c r="D28" i="14" s="1"/>
  <c r="D100" i="12"/>
  <c r="D102" i="12"/>
  <c r="D30" i="14" s="1"/>
  <c r="D103" i="12"/>
  <c r="D104" i="12"/>
  <c r="D105" i="12"/>
  <c r="D106" i="12"/>
  <c r="D107" i="12"/>
  <c r="D31" i="14" s="1"/>
  <c r="I31" i="14" s="1"/>
  <c r="D108" i="12"/>
  <c r="D109" i="12"/>
  <c r="D97" i="12"/>
  <c r="D27" i="14" s="1"/>
  <c r="I27" i="14" s="1"/>
  <c r="G110" i="12"/>
  <c r="G32" i="14" s="1"/>
  <c r="F110" i="12"/>
  <c r="F32" i="14" s="1"/>
  <c r="E110" i="12"/>
  <c r="E32" i="14" s="1"/>
  <c r="G101" i="12"/>
  <c r="G29" i="14"/>
  <c r="F101" i="12"/>
  <c r="F29" i="14" s="1"/>
  <c r="E101" i="12"/>
  <c r="E29" i="14" s="1"/>
  <c r="D68" i="12"/>
  <c r="D8" i="14" s="1"/>
  <c r="D69" i="12"/>
  <c r="D9" i="14" s="1"/>
  <c r="D70" i="12"/>
  <c r="D10" i="14" s="1"/>
  <c r="D71" i="12"/>
  <c r="D11" i="14" s="1"/>
  <c r="D72" i="12"/>
  <c r="D12" i="14" s="1"/>
  <c r="D73" i="12"/>
  <c r="D74" i="12"/>
  <c r="D77" i="12"/>
  <c r="D15" i="14" s="1"/>
  <c r="D78" i="12"/>
  <c r="D16" i="14" s="1"/>
  <c r="D79" i="12"/>
  <c r="D17" i="14" s="1"/>
  <c r="I17" i="14" s="1"/>
  <c r="D80" i="12"/>
  <c r="D18" i="14" s="1"/>
  <c r="D81" i="12"/>
  <c r="D82" i="12"/>
  <c r="D83" i="12"/>
  <c r="D19" i="14" s="1"/>
  <c r="I19" i="14" s="1"/>
  <c r="D84" i="12"/>
  <c r="D85" i="12"/>
  <c r="D86" i="12"/>
  <c r="D20" i="14" s="1"/>
  <c r="G51" i="5"/>
  <c r="G61" i="5"/>
  <c r="G60" i="5"/>
  <c r="G59" i="5"/>
  <c r="G54" i="5"/>
  <c r="G53" i="5"/>
  <c r="G52" i="5"/>
  <c r="H61" i="5"/>
  <c r="H60" i="5"/>
  <c r="H54" i="5"/>
  <c r="H53" i="5"/>
  <c r="H52" i="5"/>
  <c r="H51" i="5"/>
  <c r="H43" i="5"/>
  <c r="H42" i="5"/>
  <c r="H39" i="5"/>
  <c r="H38" i="5"/>
  <c r="H35" i="5"/>
  <c r="H34" i="5"/>
  <c r="H33" i="5"/>
  <c r="H32" i="5"/>
  <c r="H31" i="5"/>
  <c r="H30" i="5"/>
  <c r="H29" i="5"/>
  <c r="H28" i="5"/>
  <c r="H11" i="5"/>
  <c r="H12" i="5"/>
  <c r="H13" i="5"/>
  <c r="H14" i="5"/>
  <c r="H15" i="5"/>
  <c r="H16" i="5"/>
  <c r="H17" i="5"/>
  <c r="H18" i="5"/>
  <c r="H19" i="5"/>
  <c r="H20" i="5"/>
  <c r="H25" i="5"/>
  <c r="H10" i="5"/>
  <c r="G43" i="5"/>
  <c r="G42" i="5"/>
  <c r="G39" i="5"/>
  <c r="G38" i="5"/>
  <c r="G29" i="5"/>
  <c r="G30" i="5"/>
  <c r="G31" i="5"/>
  <c r="G32" i="5"/>
  <c r="G33" i="5"/>
  <c r="G34" i="5"/>
  <c r="G35" i="5"/>
  <c r="G28" i="5"/>
  <c r="G21" i="5"/>
  <c r="D191" i="5"/>
  <c r="D175" i="5" s="1"/>
  <c r="E186" i="5"/>
  <c r="F186" i="5"/>
  <c r="G186" i="5"/>
  <c r="H186" i="5"/>
  <c r="I186" i="5"/>
  <c r="J186" i="5"/>
  <c r="K186" i="5"/>
  <c r="L186" i="5"/>
  <c r="M186" i="5"/>
  <c r="N186" i="5"/>
  <c r="O186" i="5"/>
  <c r="D186" i="5"/>
  <c r="E171" i="5"/>
  <c r="F171" i="5"/>
  <c r="G171" i="5"/>
  <c r="H171" i="5"/>
  <c r="I171" i="5"/>
  <c r="J171" i="5"/>
  <c r="K171" i="5"/>
  <c r="L171" i="5"/>
  <c r="M171" i="5"/>
  <c r="N171" i="5"/>
  <c r="O171" i="5"/>
  <c r="D171" i="5"/>
  <c r="E167" i="5"/>
  <c r="F167" i="5"/>
  <c r="G167" i="5"/>
  <c r="H167" i="5"/>
  <c r="I167" i="5"/>
  <c r="J167" i="5"/>
  <c r="K167" i="5"/>
  <c r="L167" i="5"/>
  <c r="M167" i="5"/>
  <c r="N167" i="5"/>
  <c r="O167" i="5"/>
  <c r="D167" i="5"/>
  <c r="Q167" i="5" s="1"/>
  <c r="E163" i="5"/>
  <c r="F163" i="5"/>
  <c r="G163" i="5"/>
  <c r="H163" i="5"/>
  <c r="I163" i="5"/>
  <c r="J163" i="5"/>
  <c r="K163" i="5"/>
  <c r="L163" i="5"/>
  <c r="M163" i="5"/>
  <c r="N163" i="5"/>
  <c r="O163" i="5"/>
  <c r="D163" i="5"/>
  <c r="E131" i="5"/>
  <c r="F131" i="5"/>
  <c r="F187" i="5" s="1"/>
  <c r="G131" i="5"/>
  <c r="H131" i="5"/>
  <c r="H187" i="5" s="1"/>
  <c r="I131" i="5"/>
  <c r="J131" i="5"/>
  <c r="K131" i="5"/>
  <c r="L131" i="5"/>
  <c r="M131" i="5"/>
  <c r="N131" i="5"/>
  <c r="N187" i="5" s="1"/>
  <c r="O131" i="5"/>
  <c r="D131" i="5"/>
  <c r="Q131" i="5" s="1"/>
  <c r="E122" i="5"/>
  <c r="E188" i="5"/>
  <c r="F122" i="5"/>
  <c r="F188" i="5" s="1"/>
  <c r="G122" i="5"/>
  <c r="G188" i="5" s="1"/>
  <c r="H122" i="5"/>
  <c r="H188" i="5" s="1"/>
  <c r="I122" i="5"/>
  <c r="J122" i="5"/>
  <c r="J188" i="5" s="1"/>
  <c r="K122" i="5"/>
  <c r="K188" i="5"/>
  <c r="L122" i="5"/>
  <c r="M122" i="5"/>
  <c r="M188" i="5"/>
  <c r="N122" i="5"/>
  <c r="N188" i="5" s="1"/>
  <c r="O122" i="5"/>
  <c r="O188" i="5" s="1"/>
  <c r="D122" i="5"/>
  <c r="E116" i="5"/>
  <c r="F116" i="5"/>
  <c r="G116" i="5"/>
  <c r="G129" i="5" s="1"/>
  <c r="H116" i="5"/>
  <c r="I116" i="5"/>
  <c r="J116" i="5"/>
  <c r="K116" i="5"/>
  <c r="L116" i="5"/>
  <c r="L129" i="5" s="1"/>
  <c r="M116" i="5"/>
  <c r="N116" i="5"/>
  <c r="O116" i="5"/>
  <c r="D116" i="5"/>
  <c r="E104" i="5"/>
  <c r="F104" i="5"/>
  <c r="F111" i="5" s="1"/>
  <c r="G104" i="5"/>
  <c r="H104" i="5"/>
  <c r="I104" i="5"/>
  <c r="J104" i="5"/>
  <c r="K104" i="5"/>
  <c r="L104" i="5"/>
  <c r="M104" i="5"/>
  <c r="N104" i="5"/>
  <c r="O104" i="5"/>
  <c r="D104" i="5"/>
  <c r="E98" i="5"/>
  <c r="F98" i="5"/>
  <c r="G98" i="5"/>
  <c r="H98" i="5"/>
  <c r="I98" i="5"/>
  <c r="J98" i="5"/>
  <c r="K98" i="5"/>
  <c r="L98" i="5"/>
  <c r="M98" i="5"/>
  <c r="N98" i="5"/>
  <c r="O98" i="5"/>
  <c r="D98" i="5"/>
  <c r="D111" i="5" s="1"/>
  <c r="E92" i="5"/>
  <c r="F92" i="5"/>
  <c r="G92" i="5"/>
  <c r="H92" i="5"/>
  <c r="I92" i="5"/>
  <c r="J92" i="5"/>
  <c r="K92" i="5"/>
  <c r="L92" i="5"/>
  <c r="M92" i="5"/>
  <c r="N92" i="5"/>
  <c r="O92" i="5"/>
  <c r="D92" i="5"/>
  <c r="E83" i="5"/>
  <c r="F83" i="5"/>
  <c r="G83" i="5"/>
  <c r="H83" i="5"/>
  <c r="I83" i="5"/>
  <c r="J83" i="5"/>
  <c r="K83" i="5"/>
  <c r="L83" i="5"/>
  <c r="M83" i="5"/>
  <c r="N83" i="5"/>
  <c r="O83" i="5"/>
  <c r="D83" i="5"/>
  <c r="E76" i="5"/>
  <c r="F76" i="5"/>
  <c r="F81" i="5" s="1"/>
  <c r="G76" i="5"/>
  <c r="H76" i="5"/>
  <c r="I76" i="5"/>
  <c r="J76" i="5"/>
  <c r="K76" i="5"/>
  <c r="L76" i="5"/>
  <c r="M76" i="5"/>
  <c r="N76" i="5"/>
  <c r="O76" i="5"/>
  <c r="D76" i="5"/>
  <c r="O69" i="5"/>
  <c r="F69" i="5"/>
  <c r="G69" i="5"/>
  <c r="G81" i="5" s="1"/>
  <c r="H69" i="5"/>
  <c r="I69" i="5"/>
  <c r="J69" i="5"/>
  <c r="J81" i="5" s="1"/>
  <c r="K69" i="5"/>
  <c r="L69" i="5"/>
  <c r="M69" i="5"/>
  <c r="N69" i="5"/>
  <c r="E69" i="5"/>
  <c r="D69" i="5"/>
  <c r="D81" i="5" s="1"/>
  <c r="B169" i="5"/>
  <c r="B168" i="5"/>
  <c r="B165" i="5"/>
  <c r="B164" i="5"/>
  <c r="B160" i="5"/>
  <c r="B161" i="5"/>
  <c r="B159" i="5"/>
  <c r="B151" i="5"/>
  <c r="B156" i="5"/>
  <c r="B157" i="5"/>
  <c r="B158" i="5"/>
  <c r="B152" i="5"/>
  <c r="B139" i="5"/>
  <c r="B150" i="5"/>
  <c r="B153" i="5"/>
  <c r="B140" i="5"/>
  <c r="B141" i="5"/>
  <c r="B142" i="5"/>
  <c r="B143" i="5"/>
  <c r="B144" i="5"/>
  <c r="B145" i="5"/>
  <c r="B146" i="5"/>
  <c r="B147" i="5"/>
  <c r="B148" i="5"/>
  <c r="B149" i="5"/>
  <c r="D67" i="5"/>
  <c r="E67" i="5" s="1"/>
  <c r="F67" i="5" s="1"/>
  <c r="D188" i="5"/>
  <c r="E111" i="5"/>
  <c r="O111" i="5"/>
  <c r="D14" i="13"/>
  <c r="G15" i="14"/>
  <c r="K59" i="11"/>
  <c r="F15" i="14"/>
  <c r="J59" i="11"/>
  <c r="K129" i="5"/>
  <c r="F129" i="5"/>
  <c r="E129" i="5"/>
  <c r="L188" i="5"/>
  <c r="I81" i="5"/>
  <c r="K81" i="5"/>
  <c r="E15" i="14"/>
  <c r="I59" i="11"/>
  <c r="G9" i="2"/>
  <c r="G22" i="10" s="1"/>
  <c r="F9" i="2"/>
  <c r="F22" i="10" s="1"/>
  <c r="G95" i="2"/>
  <c r="H95" i="2"/>
  <c r="D110" i="12" s="1"/>
  <c r="D32" i="14" s="1"/>
  <c r="F95" i="2"/>
  <c r="G86" i="2"/>
  <c r="H86" i="2"/>
  <c r="D101" i="12" s="1"/>
  <c r="D29" i="14" s="1"/>
  <c r="F86" i="2"/>
  <c r="H4" i="2"/>
  <c r="J27" i="11" s="1"/>
  <c r="F35" i="2"/>
  <c r="H27" i="2"/>
  <c r="D138" i="5"/>
  <c r="J138" i="5"/>
  <c r="H138" i="5"/>
  <c r="E138" i="5"/>
  <c r="O138" i="5"/>
  <c r="M138" i="5"/>
  <c r="F138" i="5"/>
  <c r="L138" i="5"/>
  <c r="L187" i="5"/>
  <c r="I138" i="5"/>
  <c r="I187" i="5"/>
  <c r="K138" i="5"/>
  <c r="K187" i="5" s="1"/>
  <c r="N138" i="5"/>
  <c r="G138" i="5"/>
  <c r="G187" i="5"/>
  <c r="G29" i="10" l="1"/>
  <c r="I29" i="10"/>
  <c r="E9" i="14"/>
  <c r="D49" i="11"/>
  <c r="E12" i="5"/>
  <c r="J18" i="14"/>
  <c r="K20" i="14"/>
  <c r="I28" i="14"/>
  <c r="D51" i="11"/>
  <c r="E11" i="14"/>
  <c r="I11" i="14" s="1"/>
  <c r="E51" i="11"/>
  <c r="F11" i="14"/>
  <c r="J20" i="14"/>
  <c r="I32" i="14"/>
  <c r="I18" i="14"/>
  <c r="K31" i="14"/>
  <c r="E11" i="5"/>
  <c r="I20" i="14"/>
  <c r="K32" i="14"/>
  <c r="K30" i="14"/>
  <c r="G9" i="14"/>
  <c r="J21" i="14"/>
  <c r="H41" i="2"/>
  <c r="G41" i="2"/>
  <c r="G9" i="10" s="1"/>
  <c r="G28" i="10" s="1"/>
  <c r="D40" i="2"/>
  <c r="E16" i="2"/>
  <c r="E18" i="2" s="1"/>
  <c r="E23" i="10" s="1"/>
  <c r="F40" i="2"/>
  <c r="E16" i="10"/>
  <c r="I16" i="10" s="1"/>
  <c r="H77" i="2"/>
  <c r="AJ27" i="15" s="1"/>
  <c r="H16" i="2"/>
  <c r="H32" i="10" s="1"/>
  <c r="H14" i="10"/>
  <c r="I14" i="10" s="1"/>
  <c r="H40" i="2"/>
  <c r="D37" i="2"/>
  <c r="E40" i="2"/>
  <c r="J48" i="2"/>
  <c r="K49" i="2"/>
  <c r="AJ5" i="15"/>
  <c r="AJ16" i="15" s="1"/>
  <c r="AN13" i="15"/>
  <c r="I18" i="10"/>
  <c r="I15" i="10"/>
  <c r="F16" i="2"/>
  <c r="F32" i="10" s="1"/>
  <c r="F88" i="10"/>
  <c r="G54" i="10"/>
  <c r="G16" i="2"/>
  <c r="G32" i="10" s="1"/>
  <c r="D112" i="5"/>
  <c r="F112" i="5"/>
  <c r="M81" i="5"/>
  <c r="E81" i="5"/>
  <c r="E112" i="5" s="1"/>
  <c r="I111" i="5"/>
  <c r="I112" i="5" s="1"/>
  <c r="I15" i="13" s="1"/>
  <c r="M111" i="5"/>
  <c r="M112" i="5" s="1"/>
  <c r="I129" i="5"/>
  <c r="O187" i="5"/>
  <c r="J129" i="5"/>
  <c r="G111" i="5"/>
  <c r="K111" i="5"/>
  <c r="K112" i="5" s="1"/>
  <c r="M187" i="5"/>
  <c r="E187" i="5"/>
  <c r="N81" i="5"/>
  <c r="N111" i="5"/>
  <c r="J111" i="5"/>
  <c r="J112" i="5" s="1"/>
  <c r="N129" i="5"/>
  <c r="M129" i="5"/>
  <c r="D114" i="5"/>
  <c r="E114" i="5" s="1"/>
  <c r="F114" i="5" s="1"/>
  <c r="G114" i="5" s="1"/>
  <c r="H114" i="5" s="1"/>
  <c r="I114" i="5" s="1"/>
  <c r="J114" i="5" s="1"/>
  <c r="K114" i="5" s="1"/>
  <c r="L114" i="5" s="1"/>
  <c r="M114" i="5" s="1"/>
  <c r="N114" i="5" s="1"/>
  <c r="O114" i="5" s="1"/>
  <c r="L81" i="5"/>
  <c r="Q76" i="5"/>
  <c r="H81" i="5"/>
  <c r="L111" i="5"/>
  <c r="L112" i="5" s="1"/>
  <c r="H111" i="5"/>
  <c r="Q122" i="5"/>
  <c r="J187" i="5"/>
  <c r="O129" i="5"/>
  <c r="D184" i="5"/>
  <c r="E184" i="5" s="1"/>
  <c r="F184" i="5" s="1"/>
  <c r="G184" i="5" s="1"/>
  <c r="H184" i="5" s="1"/>
  <c r="I184" i="5" s="1"/>
  <c r="J184" i="5" s="1"/>
  <c r="K184" i="5" s="1"/>
  <c r="L184" i="5" s="1"/>
  <c r="M184" i="5" s="1"/>
  <c r="N184" i="5" s="1"/>
  <c r="O184" i="5" s="1"/>
  <c r="O81" i="5"/>
  <c r="O112" i="5" s="1"/>
  <c r="O15" i="13" s="1"/>
  <c r="D177" i="5"/>
  <c r="K15" i="13"/>
  <c r="G112" i="5"/>
  <c r="D15" i="13"/>
  <c r="N112" i="5"/>
  <c r="J15" i="13"/>
  <c r="E15" i="13"/>
  <c r="H112" i="5"/>
  <c r="G67" i="5"/>
  <c r="F14" i="13"/>
  <c r="E14" i="13"/>
  <c r="F15" i="13"/>
  <c r="D129" i="5"/>
  <c r="D187" i="5"/>
  <c r="H129" i="5"/>
  <c r="I188" i="5"/>
  <c r="F10" i="14"/>
  <c r="K10" i="14" s="1"/>
  <c r="E50" i="11"/>
  <c r="E4" i="12"/>
  <c r="F67" i="12"/>
  <c r="E47" i="11" s="1"/>
  <c r="F4" i="12"/>
  <c r="G67" i="12"/>
  <c r="F47" i="11" s="1"/>
  <c r="I9" i="14"/>
  <c r="E67" i="12"/>
  <c r="E76" i="12" s="1"/>
  <c r="Q92" i="5"/>
  <c r="H62" i="10"/>
  <c r="I62" i="10" s="1"/>
  <c r="H69" i="10"/>
  <c r="I57" i="10"/>
  <c r="E56" i="10"/>
  <c r="I61" i="10"/>
  <c r="I51" i="10"/>
  <c r="I60" i="10"/>
  <c r="I86" i="10"/>
  <c r="I83" i="10"/>
  <c r="E77" i="10"/>
  <c r="I77" i="10" s="1"/>
  <c r="G71" i="10"/>
  <c r="I68" i="10"/>
  <c r="G69" i="10"/>
  <c r="I69" i="10" s="1"/>
  <c r="F58" i="10"/>
  <c r="I17" i="10"/>
  <c r="D18" i="2"/>
  <c r="D23" i="10" s="1"/>
  <c r="I78" i="10"/>
  <c r="I80" i="10"/>
  <c r="I72" i="10"/>
  <c r="I53" i="10"/>
  <c r="I74" i="10"/>
  <c r="I84" i="10"/>
  <c r="H79" i="10"/>
  <c r="I76" i="10"/>
  <c r="I82" i="10"/>
  <c r="R12" i="15"/>
  <c r="AP26" i="15"/>
  <c r="AP12" i="15"/>
  <c r="T27" i="15"/>
  <c r="E75" i="10"/>
  <c r="U24" i="15"/>
  <c r="AH12" i="15"/>
  <c r="E81" i="10"/>
  <c r="F75" i="10"/>
  <c r="AE24" i="15"/>
  <c r="AM24" i="15"/>
  <c r="AC11" i="15"/>
  <c r="AC25" i="15"/>
  <c r="AC9" i="15"/>
  <c r="AE11" i="15"/>
  <c r="AC18" i="15"/>
  <c r="AM8" i="15"/>
  <c r="AM25" i="15"/>
  <c r="AG8" i="15"/>
  <c r="AE20" i="15"/>
  <c r="AE21" i="15"/>
  <c r="W19" i="15"/>
  <c r="AC7" i="15"/>
  <c r="AE9" i="15"/>
  <c r="AG11" i="15"/>
  <c r="AE18" i="15"/>
  <c r="AC22" i="15"/>
  <c r="AO8" i="15"/>
  <c r="AM11" i="15"/>
  <c r="AK18" i="15"/>
  <c r="AK22" i="15"/>
  <c r="AO7" i="15"/>
  <c r="U23" i="15"/>
  <c r="AK21" i="15"/>
  <c r="AE25" i="15"/>
  <c r="U8" i="15"/>
  <c r="AE7" i="15"/>
  <c r="AG9" i="15"/>
  <c r="AE22" i="15"/>
  <c r="AK9" i="15"/>
  <c r="AO11" i="15"/>
  <c r="AM18" i="15"/>
  <c r="AM22" i="15"/>
  <c r="AM10" i="15"/>
  <c r="AC21" i="15"/>
  <c r="AK25" i="15"/>
  <c r="AM21" i="15"/>
  <c r="U11" i="15"/>
  <c r="AG7" i="15"/>
  <c r="AC10" i="15"/>
  <c r="AC19" i="15"/>
  <c r="AC23" i="15"/>
  <c r="AM9" i="15"/>
  <c r="AK19" i="15"/>
  <c r="AK23" i="15"/>
  <c r="AM20" i="15"/>
  <c r="AK8" i="15"/>
  <c r="AK11" i="15"/>
  <c r="U18" i="15"/>
  <c r="F81" i="10"/>
  <c r="AC8" i="15"/>
  <c r="AE10" i="15"/>
  <c r="AE19" i="15"/>
  <c r="AE23" i="15"/>
  <c r="AK7" i="15"/>
  <c r="AO9" i="15"/>
  <c r="AM19" i="15"/>
  <c r="AM23" i="15"/>
  <c r="AO10" i="15"/>
  <c r="Y7" i="15"/>
  <c r="U9" i="15"/>
  <c r="AE8" i="15"/>
  <c r="AG10" i="15"/>
  <c r="AC20" i="15"/>
  <c r="AC24" i="15"/>
  <c r="AM7" i="15"/>
  <c r="AK10" i="15"/>
  <c r="AK20" i="15"/>
  <c r="AK24" i="15"/>
  <c r="AH26" i="15"/>
  <c r="Z12" i="15"/>
  <c r="Z26" i="15"/>
  <c r="Y10" i="15"/>
  <c r="Y9" i="15"/>
  <c r="U21" i="15"/>
  <c r="W10" i="15"/>
  <c r="W21" i="15"/>
  <c r="U10" i="15"/>
  <c r="W7" i="15"/>
  <c r="Y8" i="15"/>
  <c r="U22" i="15"/>
  <c r="W20" i="15"/>
  <c r="U19" i="15"/>
  <c r="W9" i="15"/>
  <c r="W11" i="15"/>
  <c r="W25" i="15"/>
  <c r="Y11" i="15"/>
  <c r="W24" i="15"/>
  <c r="W8" i="15"/>
  <c r="U20" i="15"/>
  <c r="W23" i="15"/>
  <c r="G75" i="10"/>
  <c r="U7" i="15"/>
  <c r="W18" i="15"/>
  <c r="T13" i="15"/>
  <c r="U25" i="15"/>
  <c r="W22" i="15"/>
  <c r="E78" i="2"/>
  <c r="E101" i="2" s="1"/>
  <c r="E103" i="2" s="1"/>
  <c r="E85" i="10"/>
  <c r="D85" i="10"/>
  <c r="D32" i="10"/>
  <c r="F37" i="2"/>
  <c r="D41" i="10"/>
  <c r="D41" i="2"/>
  <c r="E41" i="10"/>
  <c r="F87" i="10"/>
  <c r="D78" i="2"/>
  <c r="D49" i="10"/>
  <c r="E49" i="10"/>
  <c r="F52" i="10"/>
  <c r="F41" i="2"/>
  <c r="F85" i="10"/>
  <c r="G37" i="2"/>
  <c r="G40" i="2"/>
  <c r="E37" i="2"/>
  <c r="D59" i="10"/>
  <c r="D87" i="10"/>
  <c r="E59" i="10"/>
  <c r="E87" i="10"/>
  <c r="D66" i="10"/>
  <c r="D88" i="10"/>
  <c r="E54" i="10"/>
  <c r="E66" i="10"/>
  <c r="E88" i="10"/>
  <c r="F49" i="10"/>
  <c r="F66" i="10"/>
  <c r="E41" i="2"/>
  <c r="E9" i="10" s="1"/>
  <c r="E28" i="10" s="1"/>
  <c r="H54" i="10"/>
  <c r="F79" i="10"/>
  <c r="F73" i="10"/>
  <c r="E73" i="10"/>
  <c r="F54" i="10"/>
  <c r="E79" i="10"/>
  <c r="G20" i="5"/>
  <c r="I15" i="14"/>
  <c r="K19" i="14"/>
  <c r="G18" i="5"/>
  <c r="E24" i="5"/>
  <c r="E19" i="5"/>
  <c r="K18" i="14"/>
  <c r="J32" i="14"/>
  <c r="E22" i="5"/>
  <c r="G81" i="10"/>
  <c r="G52" i="10"/>
  <c r="G73" i="10"/>
  <c r="G87" i="10"/>
  <c r="G66" i="10"/>
  <c r="G85" i="10"/>
  <c r="G79" i="10"/>
  <c r="H47" i="2"/>
  <c r="H80" i="2" s="1"/>
  <c r="H97" i="2" s="1"/>
  <c r="G4" i="2"/>
  <c r="D93" i="10"/>
  <c r="H20" i="2"/>
  <c r="D65" i="12"/>
  <c r="D95" i="12" s="1"/>
  <c r="D112" i="12" s="1"/>
  <c r="F41" i="10"/>
  <c r="H52" i="10"/>
  <c r="H73" i="10"/>
  <c r="G59" i="10"/>
  <c r="H6" i="10"/>
  <c r="H39" i="10" s="1"/>
  <c r="G88" i="10"/>
  <c r="G41" i="10"/>
  <c r="H85" i="10"/>
  <c r="J28" i="11"/>
  <c r="H37" i="2"/>
  <c r="I29" i="14"/>
  <c r="F78" i="2"/>
  <c r="F101" i="2" s="1"/>
  <c r="F103" i="2" s="1"/>
  <c r="G49" i="10"/>
  <c r="G78" i="2"/>
  <c r="G101" i="2" s="1"/>
  <c r="G103" i="2" s="1"/>
  <c r="D67" i="12"/>
  <c r="D7" i="14" s="1"/>
  <c r="J29" i="14"/>
  <c r="J19" i="14"/>
  <c r="J15" i="14"/>
  <c r="G14" i="5"/>
  <c r="I12" i="14"/>
  <c r="G13" i="5"/>
  <c r="K17" i="14"/>
  <c r="J30" i="14"/>
  <c r="I21" i="14"/>
  <c r="K15" i="14"/>
  <c r="Q98" i="5"/>
  <c r="F50" i="11"/>
  <c r="K27" i="14"/>
  <c r="F92" i="12"/>
  <c r="F22" i="14" s="1"/>
  <c r="F16" i="14"/>
  <c r="E48" i="11"/>
  <c r="F8" i="14"/>
  <c r="F55" i="11"/>
  <c r="F61" i="11" s="1"/>
  <c r="G16" i="14"/>
  <c r="E78" i="12"/>
  <c r="D25" i="5"/>
  <c r="G8" i="14"/>
  <c r="F48" i="11"/>
  <c r="G17" i="5"/>
  <c r="E17" i="5"/>
  <c r="J27" i="14"/>
  <c r="G11" i="14"/>
  <c r="F51" i="11"/>
  <c r="G15" i="5"/>
  <c r="E15" i="5"/>
  <c r="D48" i="11"/>
  <c r="E8" i="14"/>
  <c r="G16" i="5"/>
  <c r="E16" i="5"/>
  <c r="G23" i="5"/>
  <c r="I30" i="14"/>
  <c r="G21" i="14"/>
  <c r="K21" i="14" s="1"/>
  <c r="G92" i="12"/>
  <c r="G22" i="14" s="1"/>
  <c r="K22" i="14" s="1"/>
  <c r="D50" i="11"/>
  <c r="E10" i="14"/>
  <c r="K29" i="14"/>
  <c r="F9" i="14"/>
  <c r="F76" i="12"/>
  <c r="D92" i="12" l="1"/>
  <c r="D22" i="14" s="1"/>
  <c r="D42" i="2"/>
  <c r="D10" i="10" s="1"/>
  <c r="D30" i="10" s="1"/>
  <c r="E8" i="10"/>
  <c r="E27" i="10"/>
  <c r="G8" i="10"/>
  <c r="G27" i="10"/>
  <c r="D8" i="10"/>
  <c r="I8" i="10" s="1"/>
  <c r="D27" i="10"/>
  <c r="E32" i="10"/>
  <c r="I32" i="10" s="1"/>
  <c r="H8" i="10"/>
  <c r="H27" i="10"/>
  <c r="F8" i="10"/>
  <c r="F27" i="10"/>
  <c r="F29" i="11"/>
  <c r="J11" i="14"/>
  <c r="K11" i="14"/>
  <c r="F42" i="2"/>
  <c r="F10" i="10" s="1"/>
  <c r="F30" i="10" s="1"/>
  <c r="H18" i="2"/>
  <c r="H23" i="10" s="1"/>
  <c r="F18" i="2"/>
  <c r="F23" i="10" s="1"/>
  <c r="D33" i="10"/>
  <c r="D9" i="10"/>
  <c r="D28" i="10" s="1"/>
  <c r="K53" i="2"/>
  <c r="K51" i="2"/>
  <c r="K50" i="2"/>
  <c r="K52" i="2"/>
  <c r="H42" i="2"/>
  <c r="H10" i="10" s="1"/>
  <c r="H30" i="10" s="1"/>
  <c r="I57" i="11"/>
  <c r="D178" i="5"/>
  <c r="D16" i="13" s="1"/>
  <c r="D66" i="11"/>
  <c r="G18" i="2"/>
  <c r="G23" i="10" s="1"/>
  <c r="G42" i="2"/>
  <c r="G10" i="10" s="1"/>
  <c r="G30" i="10" s="1"/>
  <c r="F4" i="2"/>
  <c r="E4" i="2" s="1"/>
  <c r="L5" i="15" s="1"/>
  <c r="L16" i="15" s="1"/>
  <c r="AB5" i="15"/>
  <c r="AB16" i="15" s="1"/>
  <c r="I73" i="10"/>
  <c r="L15" i="13"/>
  <c r="M15" i="13"/>
  <c r="H15" i="13"/>
  <c r="G15" i="13"/>
  <c r="N15" i="13"/>
  <c r="H67" i="5"/>
  <c r="G14" i="13"/>
  <c r="G76" i="12"/>
  <c r="R7" i="14" s="1"/>
  <c r="G7" i="14"/>
  <c r="F7" i="14"/>
  <c r="E29" i="11"/>
  <c r="E7" i="14"/>
  <c r="D29" i="11"/>
  <c r="D30" i="11" s="1"/>
  <c r="Q83" i="5"/>
  <c r="D47" i="11"/>
  <c r="F9" i="10"/>
  <c r="F28" i="10" s="1"/>
  <c r="I52" i="10"/>
  <c r="I54" i="10"/>
  <c r="I85" i="10"/>
  <c r="I81" i="10"/>
  <c r="I75" i="10"/>
  <c r="I79" i="10"/>
  <c r="D101" i="2"/>
  <c r="D103" i="2" s="1"/>
  <c r="D45" i="10" s="1"/>
  <c r="E42" i="10"/>
  <c r="F50" i="10"/>
  <c r="E71" i="10"/>
  <c r="I71" i="10" s="1"/>
  <c r="I70" i="10"/>
  <c r="E58" i="10"/>
  <c r="I58" i="10" s="1"/>
  <c r="E67" i="10"/>
  <c r="AH20" i="15"/>
  <c r="Z18" i="15"/>
  <c r="AP10" i="15"/>
  <c r="AH9" i="15"/>
  <c r="AP7" i="15"/>
  <c r="AP20" i="15"/>
  <c r="AH18" i="15"/>
  <c r="AH8" i="15"/>
  <c r="Z11" i="15"/>
  <c r="AH25" i="15"/>
  <c r="Z9" i="15"/>
  <c r="AP9" i="15"/>
  <c r="AH10" i="15"/>
  <c r="Z25" i="15"/>
  <c r="AP8" i="15"/>
  <c r="AH7" i="15"/>
  <c r="AP18" i="15"/>
  <c r="Z8" i="15"/>
  <c r="AP11" i="15"/>
  <c r="AH11" i="15"/>
  <c r="AP25" i="15"/>
  <c r="Z20" i="15"/>
  <c r="Z7" i="15"/>
  <c r="Z10" i="15"/>
  <c r="I55" i="10"/>
  <c r="F56" i="10"/>
  <c r="E50" i="10"/>
  <c r="G67" i="10"/>
  <c r="H9" i="10"/>
  <c r="H28" i="10" s="1"/>
  <c r="D42" i="10"/>
  <c r="E33" i="10"/>
  <c r="F67" i="10"/>
  <c r="E44" i="10"/>
  <c r="E43" i="10"/>
  <c r="E31" i="10"/>
  <c r="E42" i="2"/>
  <c r="D5" i="14"/>
  <c r="O5" i="14" s="1"/>
  <c r="E65" i="12"/>
  <c r="I5" i="14" s="1"/>
  <c r="K16" i="14"/>
  <c r="H66" i="10"/>
  <c r="H67" i="10" s="1"/>
  <c r="H88" i="10"/>
  <c r="I88" i="10" s="1"/>
  <c r="G6" i="10"/>
  <c r="G39" i="10" s="1"/>
  <c r="G20" i="2"/>
  <c r="H87" i="10"/>
  <c r="I87" i="10" s="1"/>
  <c r="I27" i="11"/>
  <c r="G47" i="2"/>
  <c r="F47" i="2" s="1"/>
  <c r="F42" i="10"/>
  <c r="G31" i="10"/>
  <c r="G80" i="2"/>
  <c r="G97" i="2" s="1"/>
  <c r="G42" i="10"/>
  <c r="H59" i="10"/>
  <c r="I59" i="10" s="1"/>
  <c r="H41" i="10"/>
  <c r="O7" i="14" s="1"/>
  <c r="H49" i="10"/>
  <c r="H50" i="10" s="1"/>
  <c r="D76" i="12"/>
  <c r="H78" i="2"/>
  <c r="H101" i="2" s="1"/>
  <c r="H103" i="2" s="1"/>
  <c r="P101" i="2"/>
  <c r="G50" i="10"/>
  <c r="F30" i="11"/>
  <c r="F46" i="11" s="1"/>
  <c r="F53" i="11" s="1"/>
  <c r="F65" i="11" s="1"/>
  <c r="D55" i="11"/>
  <c r="D61" i="11" s="1"/>
  <c r="E16" i="14"/>
  <c r="Q138" i="5"/>
  <c r="K8" i="14"/>
  <c r="P7" i="14"/>
  <c r="E22" i="14"/>
  <c r="J10" i="14"/>
  <c r="I10" i="14"/>
  <c r="E25" i="5"/>
  <c r="G25" i="5"/>
  <c r="F14" i="14"/>
  <c r="F93" i="12"/>
  <c r="F13" i="14"/>
  <c r="E14" i="14"/>
  <c r="E13" i="14"/>
  <c r="K9" i="14"/>
  <c r="J9" i="14"/>
  <c r="J8" i="14"/>
  <c r="I8" i="14"/>
  <c r="Q7" i="14"/>
  <c r="P61" i="2" l="1"/>
  <c r="Q101" i="2"/>
  <c r="O61" i="2"/>
  <c r="G13" i="14"/>
  <c r="G93" i="12"/>
  <c r="G14" i="14"/>
  <c r="K14" i="14" s="1"/>
  <c r="O101" i="2"/>
  <c r="H33" i="10"/>
  <c r="G33" i="10"/>
  <c r="I23" i="10"/>
  <c r="F31" i="10"/>
  <c r="F33" i="10"/>
  <c r="Q61" i="2"/>
  <c r="D31" i="10"/>
  <c r="J185" i="5"/>
  <c r="N185" i="5"/>
  <c r="M185" i="5"/>
  <c r="F185" i="5"/>
  <c r="K185" i="5"/>
  <c r="I185" i="5"/>
  <c r="D185" i="5"/>
  <c r="J57" i="11"/>
  <c r="G185" i="5"/>
  <c r="L185" i="5"/>
  <c r="K57" i="11"/>
  <c r="O185" i="5"/>
  <c r="H185" i="5"/>
  <c r="E185" i="5"/>
  <c r="E20" i="2"/>
  <c r="F20" i="2"/>
  <c r="D4" i="2"/>
  <c r="D5" i="15" s="1"/>
  <c r="D16" i="15" s="1"/>
  <c r="D180" i="5"/>
  <c r="D181" i="5" s="1"/>
  <c r="D17" i="13" s="1"/>
  <c r="F6" i="10"/>
  <c r="F39" i="10" s="1"/>
  <c r="H27" i="11"/>
  <c r="F65" i="12"/>
  <c r="J5" i="14" s="1"/>
  <c r="E95" i="12"/>
  <c r="E112" i="12" s="1"/>
  <c r="I66" i="10"/>
  <c r="D15" i="11"/>
  <c r="D6" i="11" s="1"/>
  <c r="D86" i="11" s="1"/>
  <c r="E5" i="14"/>
  <c r="P5" i="14" s="1"/>
  <c r="D6" i="17"/>
  <c r="D12" i="12" s="1"/>
  <c r="D2" i="12" s="1"/>
  <c r="D41" i="12" s="1"/>
  <c r="E10" i="10"/>
  <c r="E30" i="10" s="1"/>
  <c r="I30" i="10" s="1"/>
  <c r="H31" i="10"/>
  <c r="E6" i="10"/>
  <c r="E39" i="10" s="1"/>
  <c r="I67" i="5"/>
  <c r="H14" i="13"/>
  <c r="I61" i="11"/>
  <c r="D108" i="11" s="1"/>
  <c r="D42" i="14" s="1"/>
  <c r="I62" i="11"/>
  <c r="J7" i="14"/>
  <c r="E30" i="11"/>
  <c r="E46" i="11" s="1"/>
  <c r="E53" i="11" s="1"/>
  <c r="E65" i="11" s="1"/>
  <c r="F66" i="11" s="1"/>
  <c r="F67" i="11" s="1"/>
  <c r="F109" i="11" s="1"/>
  <c r="F43" i="14" s="1"/>
  <c r="K7" i="14"/>
  <c r="I7" i="14"/>
  <c r="D46" i="11"/>
  <c r="D53" i="11" s="1"/>
  <c r="D65" i="11" s="1"/>
  <c r="I41" i="10"/>
  <c r="I67" i="10"/>
  <c r="D44" i="10"/>
  <c r="D34" i="10"/>
  <c r="D43" i="10"/>
  <c r="I50" i="10"/>
  <c r="I9" i="10"/>
  <c r="I49" i="10"/>
  <c r="G56" i="10"/>
  <c r="H56" i="10"/>
  <c r="E34" i="10"/>
  <c r="E45" i="10"/>
  <c r="F80" i="2"/>
  <c r="F97" i="2" s="1"/>
  <c r="T5" i="15" s="1"/>
  <c r="T16" i="15" s="1"/>
  <c r="E47" i="2"/>
  <c r="J13" i="14"/>
  <c r="G44" i="10"/>
  <c r="P76" i="2"/>
  <c r="G43" i="10"/>
  <c r="D93" i="12"/>
  <c r="D23" i="14" s="1"/>
  <c r="H42" i="10"/>
  <c r="O8" i="14" s="1"/>
  <c r="D13" i="14"/>
  <c r="I13" i="14" s="1"/>
  <c r="D14" i="14"/>
  <c r="I14" i="14" s="1"/>
  <c r="O76" i="2"/>
  <c r="F43" i="10"/>
  <c r="F44" i="10"/>
  <c r="D94" i="10"/>
  <c r="E93" i="12"/>
  <c r="E116" i="12" s="1"/>
  <c r="J14" i="14"/>
  <c r="I22" i="14"/>
  <c r="J22" i="14"/>
  <c r="J16" i="14"/>
  <c r="I16" i="14"/>
  <c r="G23" i="14"/>
  <c r="G116" i="12"/>
  <c r="K13" i="14"/>
  <c r="F116" i="12"/>
  <c r="F23" i="14"/>
  <c r="I33" i="10" l="1"/>
  <c r="E15" i="11"/>
  <c r="E6" i="11" s="1"/>
  <c r="I10" i="10"/>
  <c r="D26" i="11"/>
  <c r="J12" i="10" s="1"/>
  <c r="J61" i="11"/>
  <c r="E108" i="11" s="1"/>
  <c r="E42" i="14" s="1"/>
  <c r="J62" i="11"/>
  <c r="D189" i="5"/>
  <c r="D190" i="5"/>
  <c r="F5" i="14"/>
  <c r="Q5" i="14" s="1"/>
  <c r="G65" i="12"/>
  <c r="K5" i="14" s="1"/>
  <c r="D6" i="10"/>
  <c r="D39" i="10" s="1"/>
  <c r="I31" i="10"/>
  <c r="K62" i="11"/>
  <c r="K61" i="11"/>
  <c r="F108" i="11" s="1"/>
  <c r="F42" i="14" s="1"/>
  <c r="D20" i="2"/>
  <c r="F95" i="12"/>
  <c r="F112" i="12" s="1"/>
  <c r="G6" i="17"/>
  <c r="E12" i="12" s="1"/>
  <c r="E2" i="12" s="1"/>
  <c r="E41" i="12" s="1"/>
  <c r="D29" i="12"/>
  <c r="I42" i="10"/>
  <c r="J67" i="5"/>
  <c r="I14" i="13"/>
  <c r="D67" i="11"/>
  <c r="D109" i="11" s="1"/>
  <c r="D43" i="14" s="1"/>
  <c r="E66" i="11"/>
  <c r="E67" i="11" s="1"/>
  <c r="E109" i="11" s="1"/>
  <c r="E43" i="14" s="1"/>
  <c r="I56" i="10"/>
  <c r="D96" i="10"/>
  <c r="E80" i="2"/>
  <c r="E97" i="2" s="1"/>
  <c r="D47" i="2"/>
  <c r="D80" i="2" s="1"/>
  <c r="D97" i="2" s="1"/>
  <c r="F45" i="10"/>
  <c r="F34" i="10"/>
  <c r="Q76" i="2"/>
  <c r="H43" i="10"/>
  <c r="O9" i="14" s="1"/>
  <c r="D116" i="12"/>
  <c r="D34" i="14" s="1"/>
  <c r="H44" i="10"/>
  <c r="I44" i="10" s="1"/>
  <c r="D95" i="10"/>
  <c r="G45" i="10"/>
  <c r="G34" i="10"/>
  <c r="E23" i="14"/>
  <c r="P8" i="14" s="1"/>
  <c r="K23" i="14"/>
  <c r="Q9" i="14"/>
  <c r="Q8" i="14"/>
  <c r="F118" i="12"/>
  <c r="F34" i="14"/>
  <c r="D90" i="11"/>
  <c r="D114" i="11" s="1"/>
  <c r="D88" i="11"/>
  <c r="D93" i="11"/>
  <c r="D104" i="11" s="1"/>
  <c r="D38" i="14" s="1"/>
  <c r="E89" i="11"/>
  <c r="D89" i="11"/>
  <c r="E34" i="14"/>
  <c r="E118" i="12"/>
  <c r="E86" i="11"/>
  <c r="E26" i="11"/>
  <c r="R9" i="14"/>
  <c r="R8" i="14"/>
  <c r="G34" i="14"/>
  <c r="G118" i="12"/>
  <c r="D44" i="11" l="1"/>
  <c r="I55" i="11"/>
  <c r="E29" i="12"/>
  <c r="J6" i="17"/>
  <c r="F12" i="12" s="1"/>
  <c r="F15" i="11"/>
  <c r="F6" i="11" s="1"/>
  <c r="F26" i="11" s="1"/>
  <c r="G95" i="12"/>
  <c r="G112" i="12" s="1"/>
  <c r="G5" i="14"/>
  <c r="R5" i="14" s="1"/>
  <c r="E189" i="5"/>
  <c r="E190" i="5"/>
  <c r="E191" i="5"/>
  <c r="E175" i="5" s="1"/>
  <c r="E177" i="5" s="1"/>
  <c r="E178" i="5" s="1"/>
  <c r="J14" i="13"/>
  <c r="K67" i="5"/>
  <c r="I23" i="14"/>
  <c r="I43" i="10"/>
  <c r="H45" i="10"/>
  <c r="O10" i="14" s="1"/>
  <c r="H34" i="10"/>
  <c r="I34" i="10" s="1"/>
  <c r="D118" i="12"/>
  <c r="P9" i="14"/>
  <c r="J23" i="14"/>
  <c r="F117" i="11"/>
  <c r="F51" i="14" s="1"/>
  <c r="R10" i="14"/>
  <c r="D91" i="11"/>
  <c r="D100" i="11" s="1"/>
  <c r="D107" i="11" s="1"/>
  <c r="D115" i="11"/>
  <c r="E93" i="11"/>
  <c r="E104" i="11" s="1"/>
  <c r="E38" i="14" s="1"/>
  <c r="E90" i="11"/>
  <c r="E114" i="11" s="1"/>
  <c r="E88" i="11"/>
  <c r="P10" i="14"/>
  <c r="D117" i="11"/>
  <c r="D51" i="14" s="1"/>
  <c r="E117" i="11"/>
  <c r="E51" i="14" s="1"/>
  <c r="Q10" i="14"/>
  <c r="F2" i="12"/>
  <c r="F41" i="12" s="1"/>
  <c r="F29" i="12"/>
  <c r="E44" i="11"/>
  <c r="J55" i="11"/>
  <c r="D48" i="14"/>
  <c r="K34" i="14"/>
  <c r="J34" i="14"/>
  <c r="I34" i="14"/>
  <c r="F86" i="11" l="1"/>
  <c r="E180" i="5"/>
  <c r="E181" i="5" s="1"/>
  <c r="E17" i="13" s="1"/>
  <c r="E16" i="13"/>
  <c r="F190" i="5"/>
  <c r="F189" i="5"/>
  <c r="F191" i="5"/>
  <c r="F175" i="5" s="1"/>
  <c r="F177" i="5" s="1"/>
  <c r="F178" i="5" s="1"/>
  <c r="L67" i="5"/>
  <c r="K14" i="13"/>
  <c r="I45" i="10"/>
  <c r="D119" i="11"/>
  <c r="D53" i="14" s="1"/>
  <c r="F44" i="11"/>
  <c r="K55" i="11"/>
  <c r="D49" i="14"/>
  <c r="Q69" i="5"/>
  <c r="E115" i="11"/>
  <c r="E49" i="14" s="1"/>
  <c r="E91" i="11"/>
  <c r="E100" i="11" s="1"/>
  <c r="E107" i="11" s="1"/>
  <c r="Q116" i="5"/>
  <c r="D110" i="11"/>
  <c r="D44" i="14" s="1"/>
  <c r="D41" i="14"/>
  <c r="E48" i="14"/>
  <c r="F93" i="11"/>
  <c r="F104" i="11" s="1"/>
  <c r="F38" i="14" s="1"/>
  <c r="F90" i="11"/>
  <c r="F114" i="11" s="1"/>
  <c r="F89" i="11"/>
  <c r="F88" i="11"/>
  <c r="G191" i="5" l="1"/>
  <c r="G175" i="5" s="1"/>
  <c r="G177" i="5" s="1"/>
  <c r="G178" i="5" s="1"/>
  <c r="G16" i="13" s="1"/>
  <c r="F16" i="13"/>
  <c r="F180" i="5"/>
  <c r="F181" i="5" s="1"/>
  <c r="F17" i="13" s="1"/>
  <c r="G189" i="5"/>
  <c r="G190" i="5"/>
  <c r="M67" i="5"/>
  <c r="L14" i="13"/>
  <c r="E119" i="11"/>
  <c r="E53" i="14" s="1"/>
  <c r="F115" i="11"/>
  <c r="F49" i="14" s="1"/>
  <c r="F91" i="11"/>
  <c r="F100" i="11" s="1"/>
  <c r="F107" i="11" s="1"/>
  <c r="F48" i="14"/>
  <c r="E41" i="14"/>
  <c r="E110" i="11"/>
  <c r="E44" i="14" s="1"/>
  <c r="D121" i="11"/>
  <c r="G180" i="5" l="1"/>
  <c r="G181" i="5" s="1"/>
  <c r="G17" i="13" s="1"/>
  <c r="H189" i="5"/>
  <c r="H190" i="5"/>
  <c r="H191" i="5"/>
  <c r="H175" i="5" s="1"/>
  <c r="H177" i="5" s="1"/>
  <c r="H178" i="5" s="1"/>
  <c r="M14" i="13"/>
  <c r="N67" i="5"/>
  <c r="E121" i="11"/>
  <c r="D122" i="11"/>
  <c r="D56" i="14" s="1"/>
  <c r="D55" i="14"/>
  <c r="F119" i="11"/>
  <c r="F41" i="14"/>
  <c r="F110" i="11"/>
  <c r="F44" i="14" s="1"/>
  <c r="I191" i="5" l="1"/>
  <c r="I175" i="5" s="1"/>
  <c r="I177" i="5" s="1"/>
  <c r="I178" i="5" s="1"/>
  <c r="I16" i="13" s="1"/>
  <c r="H180" i="5"/>
  <c r="H181" i="5" s="1"/>
  <c r="H17" i="13" s="1"/>
  <c r="H16" i="13"/>
  <c r="I189" i="5"/>
  <c r="I190" i="5"/>
  <c r="O67" i="5"/>
  <c r="O14" i="13" s="1"/>
  <c r="N14" i="13"/>
  <c r="E122" i="11"/>
  <c r="E56" i="14" s="1"/>
  <c r="E55" i="14"/>
  <c r="F121" i="11"/>
  <c r="F53" i="14"/>
  <c r="I180" i="5" l="1"/>
  <c r="I181" i="5" s="1"/>
  <c r="I17" i="13" s="1"/>
  <c r="J189" i="5"/>
  <c r="J190" i="5"/>
  <c r="J191" i="5"/>
  <c r="J175" i="5" s="1"/>
  <c r="J177" i="5" s="1"/>
  <c r="J178" i="5" s="1"/>
  <c r="F55" i="14"/>
  <c r="F122" i="11"/>
  <c r="F56" i="14" s="1"/>
  <c r="J16" i="13" l="1"/>
  <c r="J180" i="5"/>
  <c r="J181" i="5" s="1"/>
  <c r="J17" i="13" s="1"/>
  <c r="K189" i="5"/>
  <c r="K190" i="5"/>
  <c r="K191" i="5"/>
  <c r="K175" i="5" s="1"/>
  <c r="K177" i="5" s="1"/>
  <c r="K178" i="5" s="1"/>
  <c r="K16" i="13" l="1"/>
  <c r="K180" i="5"/>
  <c r="K181" i="5" s="1"/>
  <c r="K17" i="13" s="1"/>
  <c r="L189" i="5"/>
  <c r="L190" i="5"/>
  <c r="L191" i="5"/>
  <c r="L175" i="5" s="1"/>
  <c r="L177" i="5" s="1"/>
  <c r="L178" i="5" s="1"/>
  <c r="M191" i="5" l="1"/>
  <c r="M175" i="5" s="1"/>
  <c r="M177" i="5" s="1"/>
  <c r="M178" i="5" s="1"/>
  <c r="M16" i="13" s="1"/>
  <c r="L180" i="5"/>
  <c r="L181" i="5" s="1"/>
  <c r="L17" i="13" s="1"/>
  <c r="L16" i="13"/>
  <c r="M189" i="5"/>
  <c r="M190" i="5"/>
  <c r="M180" i="5" l="1"/>
  <c r="M181" i="5" s="1"/>
  <c r="M17" i="13" s="1"/>
  <c r="N189" i="5"/>
  <c r="N190" i="5"/>
  <c r="N191" i="5"/>
  <c r="N175" i="5" s="1"/>
  <c r="N177" i="5" s="1"/>
  <c r="N178" i="5" s="1"/>
  <c r="N180" i="5" l="1"/>
  <c r="N181" i="5" s="1"/>
  <c r="N17" i="13" s="1"/>
  <c r="N16" i="13"/>
  <c r="O190" i="5"/>
  <c r="O189" i="5"/>
  <c r="O191" i="5"/>
  <c r="O175" i="5" s="1"/>
  <c r="O177" i="5" s="1"/>
  <c r="O178" i="5" s="1"/>
  <c r="O16" i="13" l="1"/>
  <c r="O180" i="5"/>
  <c r="O181" i="5" s="1"/>
  <c r="O1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VOB</author>
  </authors>
  <commentList>
    <comment ref="B170" authorId="0" shapeId="0" xr:uid="{00000000-0006-0000-0200-000001000000}">
      <text>
        <r>
          <rPr>
            <sz val="8"/>
            <color indexed="81"/>
            <rFont val="Tahoma"/>
            <family val="2"/>
          </rPr>
          <t>Alerte en cas de résultat négatif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tc={29FD68FE-91BE-49AF-8C60-E8C0F4FAFE00}</author>
  </authors>
  <commentList>
    <comment ref="E18" authorId="0" shapeId="0" xr:uid="{29FD68FE-91BE-49AF-8C60-E8C0F4FAFE0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Prix panier moyen Bar/personne
</t>
      </text>
    </comment>
  </commentList>
</comments>
</file>

<file path=xl/sharedStrings.xml><?xml version="1.0" encoding="utf-8"?>
<sst xmlns="http://schemas.openxmlformats.org/spreadsheetml/2006/main" count="725" uniqueCount="472">
  <si>
    <t>Nom de la structure</t>
  </si>
  <si>
    <t>Année de création</t>
  </si>
  <si>
    <t>Forme juridique</t>
  </si>
  <si>
    <t>Association</t>
  </si>
  <si>
    <t>Dernier exercice</t>
  </si>
  <si>
    <t>Mois de départ pour le prévisionnel de trésorerie</t>
  </si>
  <si>
    <t>Régime fiscal</t>
  </si>
  <si>
    <t>Taux de TVA</t>
  </si>
  <si>
    <t>Département</t>
  </si>
  <si>
    <t>Domaine</t>
  </si>
  <si>
    <t>Capital social / Fonds associatifs</t>
  </si>
  <si>
    <t>Subventions d'investissement</t>
  </si>
  <si>
    <t>Résultat</t>
  </si>
  <si>
    <t>Stocks et encours</t>
  </si>
  <si>
    <t>Provisions pour risques et charges</t>
  </si>
  <si>
    <t>Dettes fournisseurs</t>
  </si>
  <si>
    <t>Autres créances</t>
  </si>
  <si>
    <t>Dettes fiscales et sociales</t>
  </si>
  <si>
    <t xml:space="preserve">Autres dettes </t>
  </si>
  <si>
    <t>Total Actif circulant</t>
  </si>
  <si>
    <t>Total Dettes</t>
  </si>
  <si>
    <t>Charges constatées d'avance et à répartir</t>
  </si>
  <si>
    <t>Produits constatés d'avance &amp; Fonds dédiés</t>
  </si>
  <si>
    <t>Total Actif</t>
  </si>
  <si>
    <t>Total Passif</t>
  </si>
  <si>
    <t>Aides à l'emploi</t>
  </si>
  <si>
    <t>Subventions d’exploitation</t>
  </si>
  <si>
    <t>Transferts de charges et reprises sur provisions</t>
  </si>
  <si>
    <t>Total produits d’exploitation</t>
  </si>
  <si>
    <t>Autres achats et charges externes</t>
  </si>
  <si>
    <t>Impôts et taxes</t>
  </si>
  <si>
    <t xml:space="preserve">Salaires </t>
  </si>
  <si>
    <t>Charges sociales</t>
  </si>
  <si>
    <t>Total charges d’exploitation</t>
  </si>
  <si>
    <t>Résultat d’exploitation</t>
  </si>
  <si>
    <t>Résultat financier</t>
  </si>
  <si>
    <t>Résultat exceptionnel</t>
  </si>
  <si>
    <t xml:space="preserve">Résultat net </t>
  </si>
  <si>
    <t/>
  </si>
  <si>
    <t>TOTAL</t>
  </si>
  <si>
    <t>Autres charges d'exploitation</t>
  </si>
  <si>
    <t>Stocks et encours HT</t>
  </si>
  <si>
    <t>Subventions</t>
  </si>
  <si>
    <t>ENCAISSEMENTS</t>
  </si>
  <si>
    <t>DECAISSEMENTS</t>
  </si>
  <si>
    <t>Besoins d'exploitation</t>
  </si>
  <si>
    <t>Charges constatées d'avance</t>
  </si>
  <si>
    <t>Ressources d'exploitation</t>
  </si>
  <si>
    <t>Autres dettes</t>
  </si>
  <si>
    <t>Résultat net</t>
  </si>
  <si>
    <t>Liquidité générale</t>
  </si>
  <si>
    <t>Taux d'endettement global</t>
  </si>
  <si>
    <t>Soldes intermédiaires de gestion</t>
  </si>
  <si>
    <t>Investissements</t>
  </si>
  <si>
    <t>Année de déblocage</t>
  </si>
  <si>
    <t>Nbre d'échéances la 1ère année</t>
  </si>
  <si>
    <t>Remboursement dette MLT</t>
  </si>
  <si>
    <t>Montant</t>
  </si>
  <si>
    <t>Variation du BFR</t>
  </si>
  <si>
    <t>Taux</t>
  </si>
  <si>
    <t>TOTAL EMPLOIS</t>
  </si>
  <si>
    <t>Nombre de remboursements par an</t>
  </si>
  <si>
    <t>Durée totale (en mois)</t>
  </si>
  <si>
    <t>Subventions d’investissement</t>
  </si>
  <si>
    <t>Différé (en mois)</t>
  </si>
  <si>
    <t>Apports en fonds propres sans droit de reprise</t>
  </si>
  <si>
    <t>Apports en fonds propres avec droit de reprise</t>
  </si>
  <si>
    <t>Emprunts bancaires et assimilés</t>
  </si>
  <si>
    <t>Capital remboursé 1ère année</t>
  </si>
  <si>
    <t>Autres emprunts</t>
  </si>
  <si>
    <t>Capital remboursé 2ème année</t>
  </si>
  <si>
    <t>Capacité d’autofinancement</t>
  </si>
  <si>
    <t>Capital remboursé 3ème année</t>
  </si>
  <si>
    <t>Autres</t>
  </si>
  <si>
    <t>TOTAL RESSOURCES</t>
  </si>
  <si>
    <t>SOLDE</t>
  </si>
  <si>
    <t>CUMUL</t>
  </si>
  <si>
    <t>Produits constatés d'avance</t>
  </si>
  <si>
    <t>BFR n</t>
  </si>
  <si>
    <t>BFR n-1</t>
  </si>
  <si>
    <t>Variation BFR</t>
  </si>
  <si>
    <t>DRAC</t>
  </si>
  <si>
    <t>Cession de spectacles</t>
  </si>
  <si>
    <t>Stages et ateliers</t>
  </si>
  <si>
    <t>Coproductions</t>
  </si>
  <si>
    <t>Région</t>
  </si>
  <si>
    <t>Ville</t>
  </si>
  <si>
    <t>Cotisations</t>
  </si>
  <si>
    <t>Décors, costumes, régie</t>
  </si>
  <si>
    <t>Achats de spectacles</t>
  </si>
  <si>
    <t>Communications</t>
  </si>
  <si>
    <t>Agessa/Maison des artistes</t>
  </si>
  <si>
    <t>Charges financières</t>
  </si>
  <si>
    <t>Remboursement FSF</t>
  </si>
  <si>
    <t>Actions culturelles</t>
  </si>
  <si>
    <t>Activités annexes</t>
  </si>
  <si>
    <t>Produits financiers</t>
  </si>
  <si>
    <t>Emprunt FSF</t>
  </si>
  <si>
    <t>Documentation</t>
  </si>
  <si>
    <t>Missions, réception, hébergement</t>
  </si>
  <si>
    <t>Total Actifs  immobilisés</t>
  </si>
  <si>
    <t>Disponibilités et VMP (dont cessions de créances)</t>
  </si>
  <si>
    <t>Aides aux postes</t>
  </si>
  <si>
    <t>&gt; dont reprises sur provisions</t>
  </si>
  <si>
    <t>&gt;dont permanents</t>
  </si>
  <si>
    <t>&gt;dont intermittents artistiques</t>
  </si>
  <si>
    <t>Achats de marchandises et matières premières</t>
  </si>
  <si>
    <t>Dotations aux amortissements et aux provisions</t>
  </si>
  <si>
    <t>Produits issus de la générosité du public (dons, legs et mécénat)</t>
  </si>
  <si>
    <t>Autres produits</t>
  </si>
  <si>
    <t>Total produits financiers</t>
  </si>
  <si>
    <t>Total charges financières</t>
  </si>
  <si>
    <t>Total produits exceptionnels</t>
  </si>
  <si>
    <t>Total charges exceptionnelles</t>
  </si>
  <si>
    <t>Impôts sur les sociétés</t>
  </si>
  <si>
    <t>Total Fonds propres</t>
  </si>
  <si>
    <t>&gt; dont reprises sur provisions financières</t>
  </si>
  <si>
    <t>&gt; dont dotations financières</t>
  </si>
  <si>
    <t>&gt;dont valeur comptable des éléments actifs cédés</t>
  </si>
  <si>
    <t>&gt;dont produits de cession des élts actif</t>
  </si>
  <si>
    <t>&gt;dont quote-part de subv. virée au résultat</t>
  </si>
  <si>
    <t>&gt;dont reprises sur provisions exeptionnelles</t>
  </si>
  <si>
    <t>&gt;dont dotations exeptionnelles</t>
  </si>
  <si>
    <t>&gt;dont subvention d'équilibre</t>
  </si>
  <si>
    <t>Resultat net</t>
  </si>
  <si>
    <t>Resultat d'exploitation</t>
  </si>
  <si>
    <t>Resultat financier &amp; resultat exeptionnel</t>
  </si>
  <si>
    <t>COMPTE DE RESULTAT</t>
  </si>
  <si>
    <t>BILAN</t>
  </si>
  <si>
    <t>Participation / Intéressement des salariés</t>
  </si>
  <si>
    <t>Report de ressources non utilisés sur ex. antérieurs (report en fonds dédiés)</t>
  </si>
  <si>
    <t>Engagements à réaliser sur ressources affectées (utilisation des fonds dédiés)</t>
  </si>
  <si>
    <t>VERIFICATION SAISIE</t>
  </si>
  <si>
    <t>Créances clients (sauf subventions à recevoir)</t>
  </si>
  <si>
    <t>Réserves et reports à nouveau</t>
  </si>
  <si>
    <t>Dettes financières moyen-long terme</t>
  </si>
  <si>
    <t>Dettes financières de court-terme</t>
  </si>
  <si>
    <t>Immobilisations incorporelles</t>
  </si>
  <si>
    <t>Immobilisations corporelles</t>
  </si>
  <si>
    <t>Immobilisations financières</t>
  </si>
  <si>
    <t>Passif en euros</t>
  </si>
  <si>
    <t>Actif en euros</t>
  </si>
  <si>
    <t>Subvention de fonctionnement</t>
  </si>
  <si>
    <t>Actifs - Passifs</t>
  </si>
  <si>
    <t xml:space="preserve">Resultats nets </t>
  </si>
  <si>
    <t>Fournitures d'entretien/bureau</t>
  </si>
  <si>
    <t>Location de matériels</t>
  </si>
  <si>
    <t>Eau Gaz Electricité locaux</t>
  </si>
  <si>
    <t xml:space="preserve">Location et charges locatives </t>
  </si>
  <si>
    <t xml:space="preserve">Travaux entretien réparation </t>
  </si>
  <si>
    <t xml:space="preserve">Honoraires et assurances </t>
  </si>
  <si>
    <t xml:space="preserve">Sous traitance </t>
  </si>
  <si>
    <t>Intérêts et commission bancaires (charges financières)</t>
  </si>
  <si>
    <t>Télécoms + Courrier</t>
  </si>
  <si>
    <t xml:space="preserve">Impôts et taxes </t>
  </si>
  <si>
    <t>Autre</t>
  </si>
  <si>
    <t>Apport en capital / fonds associatif</t>
  </si>
  <si>
    <t>Matériel</t>
  </si>
  <si>
    <t>Logiciels, informatique</t>
  </si>
  <si>
    <t>Aménagement , Agencements</t>
  </si>
  <si>
    <t xml:space="preserve">Achat de locaux </t>
  </si>
  <si>
    <t>Remboursement d'emprunt</t>
  </si>
  <si>
    <t>Choisir une périodicité</t>
  </si>
  <si>
    <t>Calcul de l'échéance</t>
  </si>
  <si>
    <t>Emprunt 1</t>
  </si>
  <si>
    <t>Emprunt 2</t>
  </si>
  <si>
    <t>Emprunt 3</t>
  </si>
  <si>
    <t>Autres achats de marchandises et matières premières</t>
  </si>
  <si>
    <t>Droits d'auteur &amp; notes d'auteurs</t>
  </si>
  <si>
    <t>Résidence</t>
  </si>
  <si>
    <t>Frais de mission dont défraiement</t>
  </si>
  <si>
    <t>Impôts</t>
  </si>
  <si>
    <t>Autres charges</t>
  </si>
  <si>
    <t xml:space="preserve">Charges exeptionnelles </t>
  </si>
  <si>
    <t>Cotisation intermittents</t>
  </si>
  <si>
    <t>Autres charges externes</t>
  </si>
  <si>
    <t>Saisie manuelle</t>
  </si>
  <si>
    <t>Cotisations salariés permanents</t>
  </si>
  <si>
    <t xml:space="preserve">TOTAL ENCAISSEMENTS </t>
  </si>
  <si>
    <t>Autres charges financières</t>
  </si>
  <si>
    <t xml:space="preserve">Participation et intéressement </t>
  </si>
  <si>
    <t>TVA à payer</t>
  </si>
  <si>
    <t>TOTAL DECAISSEMENTS</t>
  </si>
  <si>
    <t>VARIATION TRESORERIE MENSUELLE</t>
  </si>
  <si>
    <t>TVA collectée / ventes</t>
  </si>
  <si>
    <t>TVA collectée / cessions</t>
  </si>
  <si>
    <t>TVA déductible / achats</t>
  </si>
  <si>
    <t>TVA déductible / immobilisations</t>
  </si>
  <si>
    <t>TVA A DECAISSER</t>
  </si>
  <si>
    <t>CREDIT DE TVA</t>
  </si>
  <si>
    <t>TVA A PAYER</t>
  </si>
  <si>
    <t>Salaires et cotisations</t>
  </si>
  <si>
    <t xml:space="preserve">Salaires et cotisations </t>
  </si>
  <si>
    <t>Prêt 1</t>
  </si>
  <si>
    <t>Prêt 2</t>
  </si>
  <si>
    <t>Prêt 3</t>
  </si>
  <si>
    <t>Subventions d'investissement 1</t>
  </si>
  <si>
    <t>Subventions d'investissement 2</t>
  </si>
  <si>
    <t>Subventions d'investissement 3</t>
  </si>
  <si>
    <t>Crédits et autres apports</t>
  </si>
  <si>
    <t>Subvention d'exploitation</t>
  </si>
  <si>
    <t>Aides au poste</t>
  </si>
  <si>
    <t>Autres produits d'exploitation</t>
  </si>
  <si>
    <t>Aide exeptionnelle (aide COVID)</t>
  </si>
  <si>
    <t>Autre produit d'exploitation</t>
  </si>
  <si>
    <t>TOTAL HORS EXPLOITATION</t>
  </si>
  <si>
    <t>TOTAL EXPLOITATION</t>
  </si>
  <si>
    <t xml:space="preserve">SOLDE DE TRESORERIE </t>
  </si>
  <si>
    <t>CALCUL AUTOMATIQUE DE LA TVA</t>
  </si>
  <si>
    <t>(Indiquez ici le montant précis de votre trésorerie à la fin du mois précédent. Par exemple, si votre plan de trésorerie démarre au mois de janvier 2020, indiquez le montant de la trésorerie au 31 décembre 2019)</t>
  </si>
  <si>
    <t xml:space="preserve">Produits exeptionnels </t>
  </si>
  <si>
    <t>TVA moyenne sur CA</t>
  </si>
  <si>
    <t>TVA moyenne sur autres achats et charges externes</t>
  </si>
  <si>
    <t>TVA moyenne sur immobilisations</t>
  </si>
  <si>
    <t>(Indiquez ici la TVA à payer au regard de l'activité du mois précédent l'établissement du plan de trésorerie)</t>
  </si>
  <si>
    <t>TVA payée le mois précédent</t>
  </si>
  <si>
    <t>Chiffre d'affaires (TTC)</t>
  </si>
  <si>
    <t>Cession d'immobilisation (TTC)</t>
  </si>
  <si>
    <t>Investissements (TTC)</t>
  </si>
  <si>
    <t>Charges externes (TTC)</t>
  </si>
  <si>
    <t>Achats de marchandises et matières premières (TTC)</t>
  </si>
  <si>
    <t>Annuelle</t>
  </si>
  <si>
    <t>Mensuelle</t>
  </si>
  <si>
    <t>Semestrielle</t>
  </si>
  <si>
    <t>Prévisionnel de trésorerie</t>
  </si>
  <si>
    <t>Trimestrielle</t>
  </si>
  <si>
    <t>Calcul des charges récurrentes</t>
  </si>
  <si>
    <t>Salaires permanents (hors cotisations)</t>
  </si>
  <si>
    <t>Salaire intermittents artistiques (hors cotis.)</t>
  </si>
  <si>
    <t>Répartition du CA annuel</t>
  </si>
  <si>
    <t>Sommes annuelles TTC</t>
  </si>
  <si>
    <t>Sommes annuelles HT</t>
  </si>
  <si>
    <t>Charges externes</t>
  </si>
  <si>
    <t>CA annuel</t>
  </si>
  <si>
    <t>Répartition des charges récurrentes TTC</t>
  </si>
  <si>
    <t>Répartition du Chiffre d'affaires (TTC)</t>
  </si>
  <si>
    <t>Budget prévisionnel</t>
  </si>
  <si>
    <t>TOTAL ANNUEL</t>
  </si>
  <si>
    <t>&gt;Dotations aux nouveaux amortissements</t>
  </si>
  <si>
    <t>&gt;Provisions</t>
  </si>
  <si>
    <t>&gt;Dotations aux amortissements passés</t>
  </si>
  <si>
    <t>Impôts et taxes (hors TVA)</t>
  </si>
  <si>
    <t xml:space="preserve">Autres charges d'exploitation </t>
  </si>
  <si>
    <t>&gt;Amortissements</t>
  </si>
  <si>
    <t>Charges externes (HT)</t>
  </si>
  <si>
    <t>Durée d'amortissement</t>
  </si>
  <si>
    <t>Prévisionnel d'amortissement</t>
  </si>
  <si>
    <t>Délais de paiement (en jour)</t>
  </si>
  <si>
    <t>Calcul du BFR prévisionnel</t>
  </si>
  <si>
    <t>Cotisations sociales</t>
  </si>
  <si>
    <t>Délais de paiement accordé au client</t>
  </si>
  <si>
    <t>Délais de versement des aides à l'emploi</t>
  </si>
  <si>
    <t>Délais de versement des subventions</t>
  </si>
  <si>
    <t>Dettes sur salaires</t>
  </si>
  <si>
    <t>Dettes sur charges sociales</t>
  </si>
  <si>
    <t>Dettes sur impôts &amp; taxes</t>
  </si>
  <si>
    <t>Délais de versement des cotisations</t>
  </si>
  <si>
    <t>Délais de versement des autres créances (mécénat, don, etc)</t>
  </si>
  <si>
    <t>Prix unitaire / panier moyen HT</t>
  </si>
  <si>
    <t>Autres créances (mécénat, don,…)</t>
  </si>
  <si>
    <t>Stocks et encours (en % du CA)</t>
  </si>
  <si>
    <t>Rotation des stocks (nbr de jours)</t>
  </si>
  <si>
    <t>Estimer ses dettes de TVA</t>
  </si>
  <si>
    <t>Plan d'investissement (HT)</t>
  </si>
  <si>
    <t>Stocks et encours moyen HT</t>
  </si>
  <si>
    <t>Créances clients HT</t>
  </si>
  <si>
    <t>Nouveaux prêts</t>
  </si>
  <si>
    <t>Échéances nouveaux prêts</t>
  </si>
  <si>
    <t>Échéances prêts anterieurs</t>
  </si>
  <si>
    <t xml:space="preserve">TOTAL échéances de remboursement </t>
  </si>
  <si>
    <t>Plan de financement</t>
  </si>
  <si>
    <t>Aide à l'estimation des charges</t>
  </si>
  <si>
    <t>Historique (part des stocks dans le chiffre d'affaires)</t>
  </si>
  <si>
    <t>Volume / nbr de clients</t>
  </si>
  <si>
    <t>Pour aller plus loin dans l'analyse …</t>
  </si>
  <si>
    <t>CAF</t>
  </si>
  <si>
    <t>Emprunt bancaire 1</t>
  </si>
  <si>
    <t>Emprunt bancaire 2</t>
  </si>
  <si>
    <t>Emprunt bancaire 3</t>
  </si>
  <si>
    <t>Emprunt bancaire 4</t>
  </si>
  <si>
    <t>Avance TVA</t>
  </si>
  <si>
    <t>Trésorerie nette</t>
  </si>
  <si>
    <t>ans</t>
  </si>
  <si>
    <t>Fonds de roulement (FR)</t>
  </si>
  <si>
    <t>Besoin en fonds de roulement (BFR)</t>
  </si>
  <si>
    <t>Trésorerie nette (TN)</t>
  </si>
  <si>
    <t>Equilibre financier</t>
  </si>
  <si>
    <t>Analyse du BFR</t>
  </si>
  <si>
    <t>Délais moyen de paiement des clients</t>
  </si>
  <si>
    <t>Délais moyen de paiement des dettes fiscales et sociales</t>
  </si>
  <si>
    <t>Alerte sur la situation financière</t>
  </si>
  <si>
    <t>Capacité de remboursement</t>
  </si>
  <si>
    <t>Total encaissement</t>
  </si>
  <si>
    <t>Total décaissement</t>
  </si>
  <si>
    <t>Plan de financement sur 3 ans</t>
  </si>
  <si>
    <t>Solde de trésorerie</t>
  </si>
  <si>
    <t>Evolution des fonds propres sur 3 exercices</t>
  </si>
  <si>
    <t>&lt; -30 % = grave</t>
  </si>
  <si>
    <t>&lt;1 = grave</t>
  </si>
  <si>
    <t>&gt;50% = prudence</t>
  </si>
  <si>
    <t>&gt; 3 = prudence</t>
  </si>
  <si>
    <t>Délais moyen de paiement des autres créances</t>
  </si>
  <si>
    <t>Plan de trésorerie à n+1</t>
  </si>
  <si>
    <t>Analyse des produits d'exploitations</t>
  </si>
  <si>
    <t>Analyse des charges d'exploitation</t>
  </si>
  <si>
    <t>Alerte sur la situation économique</t>
  </si>
  <si>
    <t>Part des subventions sur le total des produits d'exploitation</t>
  </si>
  <si>
    <t>Part des aides à l'emploi sur le total de la masse salariale</t>
  </si>
  <si>
    <t>Apport en fonds propres avec droit de reprise</t>
  </si>
  <si>
    <t>Analyse synthétique modèle économique</t>
  </si>
  <si>
    <t>Analyse synthétique structuration financière</t>
  </si>
  <si>
    <t>Capacité d'Autofinancement (CAF)</t>
  </si>
  <si>
    <t>Baisse significative des produits d'exploitation sur les 2 derniers exercices</t>
  </si>
  <si>
    <t>(&lt; -25 % = très grave ;  &lt; -15 % = grave ; &lt; -5 % = préoccupant ; &gt; 5 % = Ok)</t>
  </si>
  <si>
    <t>Résultat d'exploitation négatif</t>
  </si>
  <si>
    <t>(sur 3 exercices = très grave ; sur 2 derniers ex. = grave ; sur dernier ex. = préoccupant)</t>
  </si>
  <si>
    <t>Résultat net négatif</t>
  </si>
  <si>
    <t>Excédent brut d'exploitation (en % des produits d'exploitation)</t>
  </si>
  <si>
    <t>Résultat d’exploitation (en % des produits d'exploitation)</t>
  </si>
  <si>
    <t>Poids de la masse salariale dans les charges d'exploitation</t>
  </si>
  <si>
    <t>Poids des dotations aux amortissements dans les charges d'exploitation</t>
  </si>
  <si>
    <t>Poids des charges externes dans les charges d'exploitation</t>
  </si>
  <si>
    <t>Poids de l'intermittence dans la masse salariale</t>
  </si>
  <si>
    <t xml:space="preserve">Analyse des immobilisations </t>
  </si>
  <si>
    <t>Poids des immobilisations corporelles dans le total bilan</t>
  </si>
  <si>
    <t>Evolution des immobilisations nettes</t>
  </si>
  <si>
    <t>Financeur / client / activité</t>
  </si>
  <si>
    <t>Vente de bien ou de prestation</t>
  </si>
  <si>
    <t>&gt;dont intermittents artistiques et techniques</t>
  </si>
  <si>
    <t>Chiffre d'affaires (ventes de prestations et de marchandises)</t>
  </si>
  <si>
    <t>Reste à compléter</t>
  </si>
  <si>
    <t>Autre financeur</t>
  </si>
  <si>
    <t>Subventions de fonctionnement</t>
  </si>
  <si>
    <t>Financeur 1</t>
  </si>
  <si>
    <t>Nbr de cotisants</t>
  </si>
  <si>
    <t>montant moyen de la cotisation annuelle</t>
  </si>
  <si>
    <t>Calcul des cotisations annuelles</t>
  </si>
  <si>
    <t>Cotisations annuelles</t>
  </si>
  <si>
    <t>Financeur 2</t>
  </si>
  <si>
    <t>Financeur 3</t>
  </si>
  <si>
    <t>Financeur 4</t>
  </si>
  <si>
    <t>Aide à l'estimation du chiffre d'affaires et des cotisations</t>
  </si>
  <si>
    <t>Aide à l'estimation des subventions, primes et aides aux postes</t>
  </si>
  <si>
    <t>Vérif</t>
  </si>
  <si>
    <t>Aide à la répartition mensuelle des produits et des charges</t>
  </si>
  <si>
    <t>Plan de trésorerie à compléter</t>
  </si>
  <si>
    <t>Saisie décalages de paiement</t>
  </si>
  <si>
    <t>Saisie des financements</t>
  </si>
  <si>
    <t>TVA</t>
  </si>
  <si>
    <t>Fiche d'identité</t>
  </si>
  <si>
    <t>Comptes et trésorerie</t>
  </si>
  <si>
    <t>Montant de la trésorerie le mois précédent le debut du plan de trésorerie</t>
  </si>
  <si>
    <t>Codes couleur</t>
  </si>
  <si>
    <t>A compléter</t>
  </si>
  <si>
    <t>Calculs automatiques</t>
  </si>
  <si>
    <t>&lt; 0 = très grave ; &lt; 31 jours prudence ; &gt; = 60 jours ok</t>
  </si>
  <si>
    <t>Saisie investissements</t>
  </si>
  <si>
    <t>Fiscalisée</t>
  </si>
  <si>
    <t>Moyenne</t>
  </si>
  <si>
    <t>Subventions à recevoir exploitation</t>
  </si>
  <si>
    <t>Subventions à recevoir investissement</t>
  </si>
  <si>
    <t xml:space="preserve">Fonds de roulement en jours de budget d'exploitation 
</t>
  </si>
  <si>
    <t>Trésorerie en jours de budget d'exploitation</t>
  </si>
  <si>
    <t>Résultat NET (en % des produits d'exploitation)</t>
  </si>
  <si>
    <r>
      <t xml:space="preserve">Financeur / client / activité du/de </t>
    </r>
    <r>
      <rPr>
        <sz val="11"/>
        <color rgb="FFFF0000"/>
        <rFont val="Century Gothic"/>
        <family val="2"/>
      </rPr>
      <t>la plus important(e) au/à la moins important(e)</t>
    </r>
  </si>
  <si>
    <t>Part des subventions de fonctionnement sur le total des subventions</t>
  </si>
  <si>
    <t>Part des subventions à projet sur le total des subventions</t>
  </si>
  <si>
    <t>Subvention à projet</t>
  </si>
  <si>
    <t>Check</t>
  </si>
  <si>
    <t>%/ total subv fonct</t>
  </si>
  <si>
    <t>%/ total subv projet</t>
  </si>
  <si>
    <t>%/ total vente</t>
  </si>
  <si>
    <t>Charges</t>
  </si>
  <si>
    <t>Charges de foncionnement</t>
  </si>
  <si>
    <t>Charges de projet</t>
  </si>
  <si>
    <t>Salaires  et charges sociales</t>
  </si>
  <si>
    <t>"61... et 62..."</t>
  </si>
  <si>
    <t>"63..."</t>
  </si>
  <si>
    <t>"64..."</t>
  </si>
  <si>
    <t>"65..."</t>
  </si>
  <si>
    <t>"68..."</t>
  </si>
  <si>
    <t>%/ total charges projet</t>
  </si>
  <si>
    <t>%/ total charges fonct</t>
  </si>
  <si>
    <t>&gt; dont fluides</t>
  </si>
  <si>
    <t>&gt; dont loyers et charges locatives</t>
  </si>
  <si>
    <t>Evolution des charges d'exploitation total en%</t>
  </si>
  <si>
    <t>Evolution des charges d'exploitation fonctionnement en %</t>
  </si>
  <si>
    <t>Evolution des charges d'exploitation projet en %</t>
  </si>
  <si>
    <t>Evolution de la masse salariale total en %</t>
  </si>
  <si>
    <t>Evolution de la masse salariale fonctionnement en %</t>
  </si>
  <si>
    <t>Evolution de la masse salariale projet en %</t>
  </si>
  <si>
    <t>Evolution des charges externes total en %</t>
  </si>
  <si>
    <t>Evolution des charges externes fonctionnement en %</t>
  </si>
  <si>
    <t>Evolution des charges externes projet en %</t>
  </si>
  <si>
    <t>Attention non sginificatif si Crédit d'impots ou subv d'investissement</t>
  </si>
  <si>
    <t>Absence de disponibilités</t>
  </si>
  <si>
    <t>Fonds propres négatifs</t>
  </si>
  <si>
    <t>Evolution des produits d'exploitation en %</t>
  </si>
  <si>
    <t>Evolution du chiffre d'affaires en %</t>
  </si>
  <si>
    <t>Evolution des subventions d'exploitation en %</t>
  </si>
  <si>
    <t>Evolution des subventions de fonctionnement en %</t>
  </si>
  <si>
    <t>Evolution des subventions projet en %</t>
  </si>
  <si>
    <t>Subventions d'exploitation</t>
  </si>
  <si>
    <t>Produits d'exploitation</t>
  </si>
  <si>
    <t>Chiffre d'affaires</t>
  </si>
  <si>
    <t>Subventions projet</t>
  </si>
  <si>
    <t>Charges d'exploitation total</t>
  </si>
  <si>
    <t>Charges d'exploitation fonctionnement</t>
  </si>
  <si>
    <t>Charges d'exploitation projet</t>
  </si>
  <si>
    <t>Masse salariale total</t>
  </si>
  <si>
    <t>Masse salariale fonctionnement</t>
  </si>
  <si>
    <t>Masse salariale projet</t>
  </si>
  <si>
    <t>Charges externes total</t>
  </si>
  <si>
    <t>Charges externes fonctionnement</t>
  </si>
  <si>
    <t>Charges externes projet</t>
  </si>
  <si>
    <t>Dotations aux amortissements</t>
  </si>
  <si>
    <r>
      <t xml:space="preserve">Estimation du chiffre d'affaires </t>
    </r>
    <r>
      <rPr>
        <b/>
        <sz val="10"/>
        <color rgb="FFFF0000"/>
        <rFont val="Century Gothic"/>
        <family val="2"/>
      </rPr>
      <t>(HT ou TTC si pas fisca)</t>
    </r>
  </si>
  <si>
    <t>Cession de spectacles DD</t>
  </si>
  <si>
    <t>N° de compte</t>
  </si>
  <si>
    <t>BP2</t>
  </si>
  <si>
    <t>Brut</t>
  </si>
  <si>
    <t>201 à 208</t>
  </si>
  <si>
    <t>211 à 218</t>
  </si>
  <si>
    <t>271à 279</t>
  </si>
  <si>
    <t>110 ou 119</t>
  </si>
  <si>
    <t>120 ou 129</t>
  </si>
  <si>
    <t>601/607</t>
  </si>
  <si>
    <t>6063/6064</t>
  </si>
  <si>
    <t>6256/6257</t>
  </si>
  <si>
    <t>681/6813</t>
  </si>
  <si>
    <t>61/62</t>
  </si>
  <si>
    <t>791/ 787</t>
  </si>
  <si>
    <t>791/787</t>
  </si>
  <si>
    <t>601/ 607</t>
  </si>
  <si>
    <t>501 à 509/512</t>
  </si>
  <si>
    <t>42/43/44</t>
  </si>
  <si>
    <t>Report de ressources non utilisés sur ex. antérieurs</t>
  </si>
  <si>
    <t>Engagements à réaliser sur ressources affectées</t>
  </si>
  <si>
    <t>Délais moyen de paiement des subventions</t>
  </si>
  <si>
    <t>Fonds de roulement négatif</t>
  </si>
  <si>
    <t>FP ou FR négatif = Très grave</t>
  </si>
  <si>
    <t xml:space="preserve">Stages et ateliers </t>
  </si>
  <si>
    <t xml:space="preserve">Billetterie </t>
  </si>
  <si>
    <t xml:space="preserve">Bar </t>
  </si>
  <si>
    <t>Prestations</t>
  </si>
  <si>
    <t>Chiffre d'affaires (ventes de prestations et de marchandises) TVA = 2,1%</t>
  </si>
  <si>
    <t>Chiffre d'affaires (ventes de prestations et de marchandises) TVA = 5,5%</t>
  </si>
  <si>
    <t>Chiffre d'affaires (ventes de prestations et de marchandises) TVA = 10%</t>
  </si>
  <si>
    <t>Chiffre d'affaires (ventes de prestations et de marchandises) TVA = 20%</t>
  </si>
  <si>
    <t>CA HT / 3 ans</t>
  </si>
  <si>
    <t>idéalement entre 30 et 90</t>
  </si>
  <si>
    <t>CA / taux de TVA</t>
  </si>
  <si>
    <t>Part des subventions sur le total des produits d'exploitation des 3 dernières années</t>
  </si>
  <si>
    <t>Non fiscalisée</t>
  </si>
  <si>
    <t>Chiffre d'affaires (ventes de prestations et de marchandises) sans TVA</t>
  </si>
  <si>
    <t>Sans objet</t>
  </si>
  <si>
    <t>Délais moyen de de paiement des fournisseurs (hors immobilisations)</t>
  </si>
  <si>
    <t>Dettes fournisseurs d'immobilisations</t>
  </si>
  <si>
    <t>Dettes fournisseurs des autres achats et charges externes</t>
  </si>
  <si>
    <t>REMUNERATION DU PERSONNEL</t>
  </si>
  <si>
    <t>POSTE</t>
  </si>
  <si>
    <t>CONTRAT</t>
  </si>
  <si>
    <t>TPS TRAVAIL</t>
  </si>
  <si>
    <t>COT.SOCIALE</t>
  </si>
  <si>
    <t>T.RESTAU</t>
  </si>
  <si>
    <t>CDI</t>
  </si>
  <si>
    <t>35h</t>
  </si>
  <si>
    <t>Trasnport</t>
  </si>
  <si>
    <t>COUT EMPL.
/ Mois</t>
  </si>
  <si>
    <t>COUT EMPL.
/ an</t>
  </si>
  <si>
    <t>Nb de Mois</t>
  </si>
  <si>
    <t>Administrateur/trice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</si>
</sst>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00\ _€_-;\-* #,##0.00\ _€_-;_-* &quot;-&quot;??\ _€_-;_-@_-"/>
    <numFmt numFmtId="165" formatCode="#,##0\ ;[Red]\-#,##0\ ;&quot;&quot;"/>
    <numFmt numFmtId="166" formatCode="\ #,##0&quot;    &quot;;\-#,##0&quot;    &quot;;&quot; -&quot;#&quot;    &quot;;@\ "/>
    <numFmt numFmtId="167" formatCode="\ #,##0.00&quot;    &quot;;\-#,##0.00&quot;    &quot;;&quot; -&quot;#&quot;    &quot;;@\ "/>
    <numFmt numFmtId="168" formatCode="0.0%"/>
    <numFmt numFmtId="169" formatCode="#,##0&quot; Jours&quot;"/>
    <numFmt numFmtId="170" formatCode="[$-40C]mmm\-yy;@"/>
    <numFmt numFmtId="171" formatCode="0%;[Red]\-0%;&quot;&quot;"/>
    <numFmt numFmtId="172" formatCode="0\ &quot;mois&quot;"/>
    <numFmt numFmtId="173" formatCode="#,##0\ &quot;€&quot;;\-#,##0\ &quot;€&quot;;\-\ &quot;€&quot;"/>
    <numFmt numFmtId="174" formatCode="dd/mm/yy;@"/>
    <numFmt numFmtId="175" formatCode="_-* #,##0\ _€_-;\-* #,##0\ _€_-;_-* &quot;-&quot;??\ _€_-;_-@_-"/>
    <numFmt numFmtId="176" formatCode="0\ &quot;jours&quot;"/>
    <numFmt numFmtId="177" formatCode="_ * #,##0.00_)\ &quot;€&quot;_ ;_ * \(#,##0.00\)\ &quot;€&quot;_ ;_ * &quot;-&quot;??_)\ &quot;€&quot;_ ;_ @_ "/>
    <numFmt numFmtId="178" formatCode="#,##0.00\ [$€-1]"/>
  </numFmts>
  <fonts count="46" x14ac:knownFonts="1">
    <font>
      <sz val="11"/>
      <color theme="1"/>
      <name val="Calibri"/>
      <family val="2"/>
      <scheme val="minor"/>
    </font>
    <font>
      <sz val="11"/>
      <color theme="1"/>
      <name val="Calibri"/>
      <family val="2"/>
      <scheme val="minor"/>
    </font>
    <font>
      <sz val="11"/>
      <color indexed="8"/>
      <name val="Calibri"/>
      <family val="2"/>
    </font>
    <font>
      <sz val="8"/>
      <color indexed="81"/>
      <name val="Tahoma"/>
      <family val="2"/>
    </font>
    <font>
      <sz val="10"/>
      <name val="Arial"/>
      <family val="2"/>
    </font>
    <font>
      <sz val="11"/>
      <color theme="1"/>
      <name val="Century Gothic"/>
      <family val="2"/>
    </font>
    <font>
      <sz val="10"/>
      <color indexed="8"/>
      <name val="Century Gothic"/>
      <family val="2"/>
    </font>
    <font>
      <b/>
      <sz val="10"/>
      <color indexed="8"/>
      <name val="Century Gothic"/>
      <family val="2"/>
    </font>
    <font>
      <sz val="10"/>
      <color theme="1"/>
      <name val="Century Gothic"/>
      <family val="2"/>
    </font>
    <font>
      <i/>
      <sz val="10"/>
      <name val="Century Gothic"/>
      <family val="2"/>
    </font>
    <font>
      <b/>
      <sz val="10"/>
      <color theme="1"/>
      <name val="Century Gothic"/>
      <family val="2"/>
    </font>
    <font>
      <sz val="10"/>
      <name val="Century Gothic"/>
      <family val="2"/>
    </font>
    <font>
      <i/>
      <sz val="10"/>
      <color indexed="23"/>
      <name val="Century Gothic"/>
      <family val="2"/>
    </font>
    <font>
      <i/>
      <sz val="10"/>
      <color theme="0" tint="-0.499984740745262"/>
      <name val="Century Gothic"/>
      <family val="2"/>
    </font>
    <font>
      <b/>
      <sz val="10"/>
      <color theme="0" tint="-0.499984740745262"/>
      <name val="Century Gothic"/>
      <family val="2"/>
    </font>
    <font>
      <b/>
      <sz val="10"/>
      <color theme="0"/>
      <name val="Century Gothic"/>
      <family val="2"/>
    </font>
    <font>
      <b/>
      <sz val="11"/>
      <color indexed="8"/>
      <name val="Century Gothic"/>
      <family val="2"/>
    </font>
    <font>
      <sz val="11"/>
      <color indexed="8"/>
      <name val="Century Gothic"/>
      <family val="2"/>
    </font>
    <font>
      <i/>
      <sz val="10"/>
      <color indexed="8"/>
      <name val="Century Gothic"/>
      <family val="2"/>
    </font>
    <font>
      <sz val="10"/>
      <color indexed="9"/>
      <name val="Century Gothic"/>
      <family val="2"/>
    </font>
    <font>
      <i/>
      <sz val="10"/>
      <color theme="1"/>
      <name val="Century Gothic"/>
      <family val="2"/>
    </font>
    <font>
      <b/>
      <sz val="11"/>
      <color theme="0"/>
      <name val="Calibri"/>
      <family val="2"/>
      <scheme val="minor"/>
    </font>
    <font>
      <b/>
      <sz val="10"/>
      <name val="Century Gothic"/>
      <family val="2"/>
    </font>
    <font>
      <b/>
      <i/>
      <sz val="10"/>
      <name val="Century Gothic"/>
      <family val="2"/>
    </font>
    <font>
      <b/>
      <i/>
      <sz val="10"/>
      <color rgb="FFFF0000"/>
      <name val="Century Gothic"/>
      <family val="2"/>
    </font>
    <font>
      <b/>
      <i/>
      <sz val="10"/>
      <color rgb="FF00A58D"/>
      <name val="Century Gothic"/>
      <family val="2"/>
    </font>
    <font>
      <b/>
      <sz val="10"/>
      <color rgb="FF008000"/>
      <name val="Century Gothic"/>
      <family val="2"/>
    </font>
    <font>
      <sz val="10"/>
      <color theme="0"/>
      <name val="Century Gothic"/>
      <family val="2"/>
    </font>
    <font>
      <b/>
      <i/>
      <sz val="10"/>
      <color theme="0"/>
      <name val="Century Gothic"/>
      <family val="2"/>
    </font>
    <font>
      <sz val="10"/>
      <color indexed="18"/>
      <name val="Century Gothic"/>
      <family val="2"/>
    </font>
    <font>
      <sz val="10"/>
      <color indexed="10"/>
      <name val="Century Gothic"/>
      <family val="2"/>
    </font>
    <font>
      <b/>
      <sz val="10"/>
      <color rgb="FFFFFF00"/>
      <name val="Century Gothic"/>
      <family val="2"/>
    </font>
    <font>
      <sz val="11"/>
      <color rgb="FFFF0000"/>
      <name val="Century Gothic"/>
      <family val="2"/>
    </font>
    <font>
      <i/>
      <sz val="10"/>
      <color theme="1" tint="0.34998626667073579"/>
      <name val="Century Gothic"/>
      <family val="2"/>
    </font>
    <font>
      <sz val="10"/>
      <color theme="1" tint="0.34998626667073579"/>
      <name val="Century Gothic"/>
      <family val="2"/>
    </font>
    <font>
      <b/>
      <sz val="10"/>
      <color rgb="FFFF0000"/>
      <name val="Century Gothic"/>
      <family val="2"/>
    </font>
    <font>
      <sz val="8"/>
      <color theme="1"/>
      <name val="Century Gothic"/>
      <family val="2"/>
    </font>
    <font>
      <i/>
      <sz val="8"/>
      <color theme="1"/>
      <name val="Century Gothic"/>
      <family val="2"/>
    </font>
    <font>
      <sz val="8"/>
      <color indexed="8"/>
      <name val="Century Gothic"/>
      <family val="2"/>
    </font>
    <font>
      <b/>
      <sz val="8"/>
      <color theme="1"/>
      <name val="Century Gothic"/>
      <family val="2"/>
    </font>
    <font>
      <sz val="8"/>
      <name val="Century Gothic"/>
      <family val="2"/>
    </font>
    <font>
      <sz val="10"/>
      <color rgb="FF000000"/>
      <name val="Calibri"/>
      <family val="2"/>
      <scheme val="minor"/>
    </font>
    <font>
      <sz val="10"/>
      <color theme="1"/>
      <name val="Arial"/>
      <family val="2"/>
    </font>
    <font>
      <b/>
      <sz val="10"/>
      <color theme="1"/>
      <name val="Arial"/>
      <family val="2"/>
    </font>
    <font>
      <sz val="10"/>
      <color theme="1"/>
      <name val="Arial"/>
      <family val="2"/>
    </font>
    <font>
      <i/>
      <sz val="11"/>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bgColor indexed="27"/>
      </patternFill>
    </fill>
    <fill>
      <patternFill patternType="solid">
        <fgColor theme="3"/>
        <bgColor indexed="64"/>
      </patternFill>
    </fill>
    <fill>
      <patternFill patternType="solid">
        <fgColor theme="0" tint="-4.9989318521683403E-2"/>
        <bgColor indexed="64"/>
      </patternFill>
    </fill>
    <fill>
      <patternFill patternType="solid">
        <fgColor theme="0"/>
        <bgColor indexed="26"/>
      </patternFill>
    </fill>
    <fill>
      <patternFill patternType="solid">
        <fgColor theme="0" tint="-0.499984740745262"/>
        <bgColor indexed="64"/>
      </patternFill>
    </fill>
    <fill>
      <patternFill patternType="solid">
        <fgColor theme="1" tint="4.9989318521683403E-2"/>
        <bgColor indexed="64"/>
      </patternFill>
    </fill>
    <fill>
      <patternFill patternType="gray0625">
        <bgColor theme="0" tint="-0.14996795556505021"/>
      </patternFill>
    </fill>
    <fill>
      <patternFill patternType="solid">
        <fgColor theme="0"/>
        <bgColor indexed="32"/>
      </patternFill>
    </fill>
    <fill>
      <patternFill patternType="solid">
        <fgColor theme="0" tint="-0.249977111117893"/>
        <bgColor indexed="64"/>
      </patternFill>
    </fill>
    <fill>
      <patternFill patternType="solid">
        <fgColor indexed="9"/>
        <bgColor indexed="64"/>
      </patternFill>
    </fill>
    <fill>
      <patternFill patternType="solid">
        <fgColor theme="0" tint="-4.9989318521683403E-2"/>
        <bgColor indexed="31"/>
      </patternFill>
    </fill>
    <fill>
      <patternFill patternType="solid">
        <fgColor theme="0" tint="-4.9989318521683403E-2"/>
        <bgColor indexed="27"/>
      </patternFill>
    </fill>
    <fill>
      <patternFill patternType="solid">
        <fgColor theme="0" tint="-0.34998626667073579"/>
        <bgColor indexed="64"/>
      </patternFill>
    </fill>
    <fill>
      <patternFill patternType="solid">
        <fgColor theme="0" tint="-0.34998626667073579"/>
        <bgColor indexed="26"/>
      </patternFill>
    </fill>
    <fill>
      <patternFill patternType="solid">
        <fgColor theme="0" tint="-0.34998626667073579"/>
        <bgColor indexed="27"/>
      </patternFill>
    </fill>
    <fill>
      <patternFill patternType="solid">
        <fgColor theme="8" tint="0.39997558519241921"/>
        <bgColor indexed="27"/>
      </patternFill>
    </fill>
    <fill>
      <patternFill patternType="solid">
        <fgColor theme="8" tint="0.39997558519241921"/>
        <bgColor indexed="64"/>
      </patternFill>
    </fill>
    <fill>
      <patternFill patternType="solid">
        <fgColor theme="0" tint="-0.249977111117893"/>
        <bgColor indexed="27"/>
      </patternFill>
    </fill>
    <fill>
      <patternFill patternType="gray0625">
        <bgColor theme="0" tint="-0.499984740745262"/>
      </patternFill>
    </fill>
    <fill>
      <patternFill patternType="solid">
        <fgColor theme="0" tint="-0.249977111117893"/>
        <bgColor indexed="31"/>
      </patternFill>
    </fill>
    <fill>
      <patternFill patternType="solid">
        <fgColor theme="0" tint="-0.249977111117893"/>
        <bgColor indexed="26"/>
      </patternFill>
    </fill>
    <fill>
      <patternFill patternType="solid">
        <fgColor theme="1" tint="0.34998626667073579"/>
        <bgColor indexed="64"/>
      </patternFill>
    </fill>
    <fill>
      <patternFill patternType="solid">
        <fgColor theme="7" tint="-0.249977111117893"/>
        <bgColor indexed="64"/>
      </patternFill>
    </fill>
    <fill>
      <patternFill patternType="solid">
        <fgColor rgb="FFB3CEFA"/>
        <bgColor rgb="FFB3CEFA"/>
      </patternFill>
    </fill>
  </fills>
  <borders count="13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diagonal/>
    </border>
    <border>
      <left style="thin">
        <color theme="1"/>
      </left>
      <right/>
      <top style="thin">
        <color theme="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medium">
        <color theme="1"/>
      </left>
      <right style="medium">
        <color theme="1"/>
      </right>
      <top style="medium">
        <color theme="1"/>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medium">
        <color theme="1"/>
      </right>
      <top/>
      <bottom style="thin">
        <color theme="1"/>
      </bottom>
      <diagonal/>
    </border>
    <border>
      <left style="medium">
        <color theme="1"/>
      </left>
      <right style="medium">
        <color theme="1"/>
      </right>
      <top style="thin">
        <color theme="1"/>
      </top>
      <bottom style="medium">
        <color theme="1"/>
      </bottom>
      <diagonal/>
    </border>
    <border>
      <left style="medium">
        <color theme="1"/>
      </left>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right style="thin">
        <color indexed="64"/>
      </right>
      <top style="medium">
        <color theme="1"/>
      </top>
      <bottom style="thin">
        <color indexed="64"/>
      </bottom>
      <diagonal/>
    </border>
    <border>
      <left/>
      <right style="thin">
        <color indexed="64"/>
      </right>
      <top style="thin">
        <color indexed="64"/>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theme="1" tint="0.499984740745262"/>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theme="1"/>
      </left>
      <right style="medium">
        <color theme="1"/>
      </right>
      <top style="medium">
        <color theme="1"/>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theme="1"/>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medium">
        <color indexed="64"/>
      </left>
      <right style="medium">
        <color indexed="64"/>
      </right>
      <top style="thin">
        <color theme="1" tint="0.499984740745262"/>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ill="0" applyBorder="0" applyAlignment="0" applyProtection="0"/>
    <xf numFmtId="0" fontId="2" fillId="0" borderId="0"/>
    <xf numFmtId="44" fontId="1" fillId="0" borderId="0" applyFont="0" applyFill="0" applyBorder="0" applyAlignment="0" applyProtection="0"/>
    <xf numFmtId="0" fontId="4" fillId="0" borderId="0"/>
    <xf numFmtId="0" fontId="41" fillId="0" borderId="0"/>
    <xf numFmtId="177" fontId="41" fillId="0" borderId="0" applyFont="0" applyFill="0" applyBorder="0" applyAlignment="0" applyProtection="0"/>
  </cellStyleXfs>
  <cellXfs count="825">
    <xf numFmtId="0" fontId="0" fillId="0" borderId="0" xfId="0"/>
    <xf numFmtId="0" fontId="6" fillId="2" borderId="0" xfId="0" applyFont="1" applyFill="1" applyAlignment="1">
      <alignment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left" vertical="center"/>
    </xf>
    <xf numFmtId="0" fontId="6" fillId="2" borderId="10" xfId="0" applyFont="1" applyFill="1" applyBorder="1" applyAlignment="1">
      <alignment vertical="center"/>
    </xf>
    <xf numFmtId="0" fontId="6" fillId="2" borderId="0" xfId="0" applyFont="1" applyFill="1" applyAlignment="1">
      <alignment horizontal="left" vertical="center"/>
    </xf>
    <xf numFmtId="0" fontId="6" fillId="2" borderId="11" xfId="0" applyFont="1" applyFill="1" applyBorder="1" applyAlignment="1">
      <alignment vertical="center"/>
    </xf>
    <xf numFmtId="0" fontId="7" fillId="2" borderId="11" xfId="0" applyFont="1" applyFill="1" applyBorder="1" applyAlignment="1">
      <alignment vertical="center"/>
    </xf>
    <xf numFmtId="0" fontId="7" fillId="2" borderId="0" xfId="0" applyFont="1" applyFill="1" applyAlignment="1">
      <alignment horizontal="right" vertical="center"/>
    </xf>
    <xf numFmtId="165" fontId="7" fillId="2" borderId="0" xfId="1" applyNumberFormat="1" applyFont="1" applyFill="1" applyBorder="1" applyAlignment="1" applyProtection="1">
      <alignment horizontal="center" vertical="center"/>
    </xf>
    <xf numFmtId="165" fontId="6" fillId="4" borderId="0" xfId="1" applyNumberFormat="1" applyFont="1" applyFill="1" applyBorder="1" applyAlignment="1" applyProtection="1">
      <alignment horizontal="center" vertical="center"/>
      <protection locked="0"/>
    </xf>
    <xf numFmtId="0" fontId="6" fillId="2" borderId="11" xfId="0" applyFont="1" applyFill="1" applyBorder="1" applyAlignment="1">
      <alignment horizontal="left" vertical="center" wrapText="1"/>
    </xf>
    <xf numFmtId="0" fontId="7" fillId="2" borderId="12" xfId="0" applyFont="1" applyFill="1" applyBorder="1" applyAlignment="1">
      <alignment horizontal="left" vertical="center"/>
    </xf>
    <xf numFmtId="0" fontId="6" fillId="2" borderId="0" xfId="0" applyFont="1" applyFill="1" applyAlignment="1">
      <alignment horizontal="left" vertical="center" wrapText="1"/>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0" applyFont="1" applyFill="1" applyBorder="1" applyAlignment="1">
      <alignment horizontal="center" vertical="center"/>
    </xf>
    <xf numFmtId="0" fontId="6" fillId="2" borderId="0" xfId="0" applyFont="1" applyFill="1"/>
    <xf numFmtId="0" fontId="6" fillId="2" borderId="11" xfId="0" applyFont="1" applyFill="1" applyBorder="1" applyAlignment="1">
      <alignment vertical="center" wrapText="1"/>
    </xf>
    <xf numFmtId="0" fontId="7" fillId="2" borderId="12" xfId="0" applyFont="1" applyFill="1" applyBorder="1" applyAlignment="1">
      <alignment vertical="center"/>
    </xf>
    <xf numFmtId="0" fontId="6" fillId="4" borderId="0" xfId="0" applyFont="1" applyFill="1" applyAlignment="1" applyProtection="1">
      <alignment vertical="top" wrapText="1"/>
      <protection locked="0"/>
    </xf>
    <xf numFmtId="0" fontId="8" fillId="2" borderId="0" xfId="0" applyFont="1" applyFill="1"/>
    <xf numFmtId="0" fontId="6" fillId="3" borderId="0" xfId="0" applyFont="1" applyFill="1" applyAlignment="1">
      <alignment vertical="center"/>
    </xf>
    <xf numFmtId="0" fontId="6" fillId="0" borderId="0" xfId="0" applyFont="1" applyAlignment="1">
      <alignmen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left" vertical="center"/>
    </xf>
    <xf numFmtId="0" fontId="13" fillId="0" borderId="11" xfId="0" applyFont="1" applyBorder="1" applyAlignment="1">
      <alignment horizontal="left" vertical="center" indent="5"/>
    </xf>
    <xf numFmtId="0" fontId="8" fillId="2" borderId="11" xfId="0" applyFont="1" applyFill="1" applyBorder="1"/>
    <xf numFmtId="0" fontId="7" fillId="2" borderId="21" xfId="0" applyFont="1" applyFill="1" applyBorder="1" applyAlignment="1">
      <alignment horizontal="center" vertical="center"/>
    </xf>
    <xf numFmtId="0" fontId="7" fillId="0" borderId="6" xfId="0" applyFont="1" applyBorder="1" applyAlignment="1">
      <alignment horizontal="center" vertical="center"/>
    </xf>
    <xf numFmtId="0" fontId="9" fillId="2" borderId="0" xfId="0" applyFont="1" applyFill="1" applyAlignment="1">
      <alignment horizontal="left"/>
    </xf>
    <xf numFmtId="0" fontId="8" fillId="5" borderId="0" xfId="0" applyFont="1" applyFill="1" applyAlignment="1">
      <alignment horizontal="center"/>
    </xf>
    <xf numFmtId="0" fontId="15" fillId="5" borderId="0" xfId="0" applyFont="1" applyFill="1" applyAlignment="1">
      <alignment horizontal="center" vertical="center"/>
    </xf>
    <xf numFmtId="0" fontId="17" fillId="2" borderId="0" xfId="0" applyFont="1" applyFill="1" applyAlignment="1">
      <alignment horizontal="center" wrapText="1"/>
    </xf>
    <xf numFmtId="0" fontId="5" fillId="2" borderId="0" xfId="0" applyFont="1" applyFill="1" applyAlignment="1">
      <alignment wrapText="1"/>
    </xf>
    <xf numFmtId="0" fontId="8" fillId="2" borderId="0" xfId="0" applyFont="1" applyFill="1" applyAlignment="1">
      <alignment wrapText="1"/>
    </xf>
    <xf numFmtId="0" fontId="15" fillId="2" borderId="0" xfId="0" applyFont="1" applyFill="1" applyAlignment="1">
      <alignment horizontal="center"/>
    </xf>
    <xf numFmtId="166" fontId="9" fillId="6" borderId="2" xfId="1" applyNumberFormat="1" applyFont="1" applyFill="1" applyBorder="1" applyAlignment="1" applyProtection="1"/>
    <xf numFmtId="165" fontId="8" fillId="6" borderId="2" xfId="0" applyNumberFormat="1" applyFont="1" applyFill="1" applyBorder="1"/>
    <xf numFmtId="0" fontId="6" fillId="2" borderId="0" xfId="0" applyFont="1" applyFill="1" applyAlignment="1">
      <alignment horizontal="center" wrapText="1"/>
    </xf>
    <xf numFmtId="0" fontId="6" fillId="2" borderId="0" xfId="0" applyFont="1" applyFill="1" applyAlignment="1" applyProtection="1">
      <alignment vertical="center" wrapText="1"/>
      <protection locked="0"/>
    </xf>
    <xf numFmtId="0" fontId="7" fillId="2" borderId="12" xfId="0" applyFont="1" applyFill="1" applyBorder="1" applyAlignment="1">
      <alignment vertical="center" wrapText="1"/>
    </xf>
    <xf numFmtId="0" fontId="7" fillId="2" borderId="0" xfId="0" applyFont="1" applyFill="1" applyAlignment="1">
      <alignment vertical="center" wrapText="1"/>
    </xf>
    <xf numFmtId="0" fontId="15" fillId="5" borderId="0" xfId="0" applyFont="1" applyFill="1" applyAlignment="1">
      <alignment horizontal="left" vertical="center"/>
    </xf>
    <xf numFmtId="0" fontId="6" fillId="2" borderId="0" xfId="0" applyFont="1" applyFill="1" applyAlignment="1">
      <alignment horizontal="left" vertical="center" indent="1"/>
    </xf>
    <xf numFmtId="0" fontId="6" fillId="2" borderId="0" xfId="0" applyFont="1" applyFill="1" applyAlignment="1">
      <alignment horizontal="left" vertical="center" wrapText="1" indent="1"/>
    </xf>
    <xf numFmtId="0" fontId="11" fillId="7" borderId="0" xfId="0" applyFont="1" applyFill="1"/>
    <xf numFmtId="0" fontId="8" fillId="5" borderId="0" xfId="0" applyFont="1" applyFill="1"/>
    <xf numFmtId="9" fontId="6" fillId="2" borderId="0" xfId="0" applyNumberFormat="1" applyFont="1" applyFill="1"/>
    <xf numFmtId="0" fontId="12" fillId="2" borderId="0" xfId="0" applyFont="1" applyFill="1" applyAlignment="1">
      <alignment horizontal="left" vertical="center"/>
    </xf>
    <xf numFmtId="0" fontId="19" fillId="2" borderId="0" xfId="0" applyFont="1" applyFill="1"/>
    <xf numFmtId="0" fontId="8" fillId="2" borderId="0" xfId="0" applyFont="1" applyFill="1" applyAlignment="1">
      <alignment horizontal="left" indent="1"/>
    </xf>
    <xf numFmtId="0" fontId="9" fillId="7" borderId="0" xfId="0" applyFont="1" applyFill="1" applyAlignment="1">
      <alignment horizontal="left" indent="2"/>
    </xf>
    <xf numFmtId="0" fontId="8" fillId="2" borderId="10" xfId="0" applyFont="1" applyFill="1" applyBorder="1"/>
    <xf numFmtId="0" fontId="8" fillId="2" borderId="12" xfId="0" applyFont="1" applyFill="1" applyBorder="1"/>
    <xf numFmtId="0" fontId="6" fillId="0" borderId="12" xfId="0" applyFont="1" applyBorder="1" applyAlignment="1">
      <alignment horizontal="left" vertical="center"/>
    </xf>
    <xf numFmtId="9" fontId="6" fillId="2" borderId="0" xfId="0" applyNumberFormat="1" applyFont="1" applyFill="1" applyAlignment="1">
      <alignment wrapText="1"/>
    </xf>
    <xf numFmtId="0" fontId="8" fillId="2" borderId="0" xfId="0" applyFont="1" applyFill="1" applyAlignment="1">
      <alignment horizontal="center" wrapText="1"/>
    </xf>
    <xf numFmtId="0" fontId="6" fillId="0" borderId="0" xfId="0" applyFont="1" applyAlignment="1">
      <alignment horizontal="left" vertical="center"/>
    </xf>
    <xf numFmtId="170" fontId="10" fillId="2" borderId="0" xfId="0" applyNumberFormat="1" applyFont="1" applyFill="1" applyAlignment="1">
      <alignment horizontal="center" wrapText="1"/>
    </xf>
    <xf numFmtId="0" fontId="10" fillId="2" borderId="0" xfId="0" applyFont="1" applyFill="1" applyAlignment="1">
      <alignment horizontal="center" wrapText="1"/>
    </xf>
    <xf numFmtId="0" fontId="8" fillId="2" borderId="0" xfId="0" applyFont="1" applyFill="1" applyAlignment="1">
      <alignment horizontal="center"/>
    </xf>
    <xf numFmtId="0" fontId="15" fillId="2" borderId="0" xfId="0" applyFont="1" applyFill="1" applyAlignment="1">
      <alignment horizontal="left" vertical="center" indent="1"/>
    </xf>
    <xf numFmtId="0" fontId="15" fillId="2" borderId="0" xfId="0" applyFont="1" applyFill="1" applyAlignment="1">
      <alignment vertical="center"/>
    </xf>
    <xf numFmtId="0" fontId="8" fillId="2" borderId="0" xfId="0" applyFont="1" applyFill="1" applyAlignment="1">
      <alignment horizontal="left" vertical="center" indent="1"/>
    </xf>
    <xf numFmtId="0" fontId="8" fillId="2" borderId="0" xfId="0" applyFont="1" applyFill="1" applyAlignment="1">
      <alignment vertical="center"/>
    </xf>
    <xf numFmtId="3" fontId="8" fillId="2" borderId="0" xfId="0" applyNumberFormat="1" applyFont="1" applyFill="1" applyAlignment="1">
      <alignment horizontal="right" vertical="center" indent="1"/>
    </xf>
    <xf numFmtId="0" fontId="20" fillId="2" borderId="0" xfId="0" applyFont="1" applyFill="1" applyAlignment="1">
      <alignment vertical="center"/>
    </xf>
    <xf numFmtId="0" fontId="9" fillId="2" borderId="0" xfId="0" applyFont="1" applyFill="1" applyAlignment="1">
      <alignment vertical="center"/>
    </xf>
    <xf numFmtId="0" fontId="23" fillId="2" borderId="0" xfId="0" applyFont="1" applyFill="1" applyAlignment="1">
      <alignment vertical="center"/>
    </xf>
    <xf numFmtId="0" fontId="20" fillId="2" borderId="0" xfId="0" applyFont="1" applyFill="1" applyAlignment="1">
      <alignment horizontal="left" vertical="center" wrapText="1"/>
    </xf>
    <xf numFmtId="0" fontId="24" fillId="2" borderId="0" xfId="0" applyFont="1" applyFill="1" applyAlignment="1">
      <alignment vertical="center"/>
    </xf>
    <xf numFmtId="0" fontId="25" fillId="2" borderId="0" xfId="0" applyFont="1" applyFill="1" applyAlignment="1">
      <alignment vertical="center"/>
    </xf>
    <xf numFmtId="3" fontId="26" fillId="2" borderId="0" xfId="0" applyNumberFormat="1" applyFont="1" applyFill="1" applyAlignment="1">
      <alignment horizontal="right" vertical="center" indent="1"/>
    </xf>
    <xf numFmtId="0" fontId="10" fillId="2" borderId="0" xfId="0" applyFont="1" applyFill="1" applyAlignment="1">
      <alignment wrapText="1"/>
    </xf>
    <xf numFmtId="0" fontId="10" fillId="2" borderId="0" xfId="0" applyFont="1" applyFill="1"/>
    <xf numFmtId="0" fontId="20" fillId="2" borderId="0" xfId="0" applyFont="1" applyFill="1"/>
    <xf numFmtId="44" fontId="27" fillId="2" borderId="0" xfId="7" applyFont="1" applyFill="1" applyBorder="1"/>
    <xf numFmtId="44" fontId="8" fillId="2" borderId="0" xfId="7" applyFont="1" applyFill="1" applyBorder="1"/>
    <xf numFmtId="0" fontId="8" fillId="0" borderId="0" xfId="0" applyFont="1" applyAlignment="1">
      <alignment horizontal="left" vertical="center" indent="1"/>
    </xf>
    <xf numFmtId="174" fontId="8" fillId="0" borderId="0" xfId="0" applyNumberFormat="1" applyFont="1" applyAlignment="1">
      <alignment vertical="center"/>
    </xf>
    <xf numFmtId="0" fontId="8" fillId="2" borderId="23" xfId="0" applyFont="1" applyFill="1" applyBorder="1"/>
    <xf numFmtId="0" fontId="27" fillId="5" borderId="0" xfId="0" applyFont="1" applyFill="1"/>
    <xf numFmtId="0" fontId="10" fillId="6" borderId="6" xfId="0" applyFont="1" applyFill="1" applyBorder="1"/>
    <xf numFmtId="0" fontId="7" fillId="6" borderId="6" xfId="0" applyFont="1" applyFill="1" applyBorder="1" applyAlignment="1">
      <alignment horizontal="left" vertical="center" wrapText="1"/>
    </xf>
    <xf numFmtId="0" fontId="10" fillId="6" borderId="10" xfId="0" applyFont="1" applyFill="1" applyBorder="1" applyAlignment="1">
      <alignment horizontal="left" vertical="center"/>
    </xf>
    <xf numFmtId="0" fontId="6" fillId="0" borderId="11" xfId="0" applyFont="1" applyBorder="1" applyAlignment="1">
      <alignment horizontal="left" vertical="center" wrapText="1"/>
    </xf>
    <xf numFmtId="0" fontId="8" fillId="2" borderId="11" xfId="0" applyFont="1" applyFill="1" applyBorder="1" applyAlignment="1">
      <alignment horizontal="left" vertical="center"/>
    </xf>
    <xf numFmtId="0" fontId="8" fillId="2" borderId="23" xfId="0" applyFont="1" applyFill="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10" fillId="6" borderId="6" xfId="0" applyFont="1" applyFill="1" applyBorder="1" applyAlignment="1">
      <alignment horizontal="left" vertical="center"/>
    </xf>
    <xf numFmtId="0" fontId="10"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10" fillId="6" borderId="26" xfId="0" applyFont="1" applyFill="1" applyBorder="1" applyAlignment="1">
      <alignment horizontal="left" vertical="center"/>
    </xf>
    <xf numFmtId="0" fontId="10" fillId="6" borderId="42" xfId="0" applyFont="1" applyFill="1" applyBorder="1" applyAlignment="1">
      <alignment horizontal="left" vertical="center"/>
    </xf>
    <xf numFmtId="0" fontId="8" fillId="2" borderId="43" xfId="0" applyFont="1" applyFill="1" applyBorder="1"/>
    <xf numFmtId="0" fontId="8" fillId="2" borderId="44" xfId="0" applyFont="1" applyFill="1" applyBorder="1"/>
    <xf numFmtId="0" fontId="8" fillId="2" borderId="45" xfId="0" applyFont="1" applyFill="1" applyBorder="1"/>
    <xf numFmtId="0" fontId="15" fillId="5" borderId="26" xfId="0" applyFont="1" applyFill="1" applyBorder="1" applyAlignment="1">
      <alignment horizontal="left" vertical="center"/>
    </xf>
    <xf numFmtId="0" fontId="15" fillId="5" borderId="26" xfId="0" applyFont="1" applyFill="1" applyBorder="1" applyAlignment="1">
      <alignment horizontal="left" vertical="center" wrapText="1"/>
    </xf>
    <xf numFmtId="0" fontId="8" fillId="2" borderId="42" xfId="0" applyFont="1" applyFill="1" applyBorder="1"/>
    <xf numFmtId="0" fontId="10" fillId="2" borderId="56" xfId="0" applyFont="1" applyFill="1" applyBorder="1" applyAlignment="1">
      <alignment wrapText="1"/>
    </xf>
    <xf numFmtId="0" fontId="20" fillId="2" borderId="65" xfId="0" applyFont="1" applyFill="1" applyBorder="1"/>
    <xf numFmtId="0" fontId="20" fillId="2" borderId="28" xfId="0" applyFont="1" applyFill="1" applyBorder="1"/>
    <xf numFmtId="0" fontId="20" fillId="2" borderId="66" xfId="0" applyFont="1" applyFill="1" applyBorder="1"/>
    <xf numFmtId="0" fontId="8" fillId="2" borderId="67" xfId="0" applyFont="1" applyFill="1" applyBorder="1"/>
    <xf numFmtId="174" fontId="8" fillId="0" borderId="0" xfId="0" applyNumberFormat="1" applyFont="1" applyAlignment="1">
      <alignment horizontal="center" vertical="center"/>
    </xf>
    <xf numFmtId="3" fontId="15" fillId="5" borderId="39" xfId="0" applyNumberFormat="1" applyFont="1" applyFill="1" applyBorder="1" applyAlignment="1">
      <alignment horizontal="center" vertical="center"/>
    </xf>
    <xf numFmtId="0" fontId="8" fillId="2" borderId="29" xfId="0" applyFont="1" applyFill="1" applyBorder="1" applyAlignment="1">
      <alignment horizontal="left" vertical="center"/>
    </xf>
    <xf numFmtId="170" fontId="22" fillId="2" borderId="39" xfId="0" applyNumberFormat="1" applyFont="1" applyFill="1" applyBorder="1" applyAlignment="1">
      <alignment horizontal="center" vertical="center"/>
    </xf>
    <xf numFmtId="170" fontId="22" fillId="2" borderId="40" xfId="0" applyNumberFormat="1" applyFont="1" applyFill="1" applyBorder="1" applyAlignment="1">
      <alignment horizontal="center" vertical="center"/>
    </xf>
    <xf numFmtId="170" fontId="22" fillId="2" borderId="41" xfId="0" applyNumberFormat="1" applyFont="1" applyFill="1" applyBorder="1" applyAlignment="1">
      <alignment horizontal="center" vertical="center"/>
    </xf>
    <xf numFmtId="3" fontId="15" fillId="5" borderId="40" xfId="0" applyNumberFormat="1" applyFont="1" applyFill="1" applyBorder="1" applyAlignment="1">
      <alignment horizontal="center" vertical="center"/>
    </xf>
    <xf numFmtId="3" fontId="15" fillId="5" borderId="41" xfId="0" applyNumberFormat="1" applyFont="1" applyFill="1" applyBorder="1" applyAlignment="1">
      <alignment horizontal="center" vertical="center"/>
    </xf>
    <xf numFmtId="0" fontId="15" fillId="8" borderId="22" xfId="0" applyFont="1" applyFill="1" applyBorder="1" applyAlignment="1">
      <alignment horizontal="left" vertical="center"/>
    </xf>
    <xf numFmtId="3" fontId="15" fillId="8" borderId="36" xfId="0" applyNumberFormat="1" applyFont="1" applyFill="1" applyBorder="1" applyAlignment="1">
      <alignment horizontal="center" vertical="center"/>
    </xf>
    <xf numFmtId="3" fontId="15" fillId="8" borderId="37" xfId="0" applyNumberFormat="1" applyFont="1" applyFill="1" applyBorder="1" applyAlignment="1">
      <alignment horizontal="center" vertical="center"/>
    </xf>
    <xf numFmtId="3" fontId="15" fillId="8" borderId="38" xfId="0" applyNumberFormat="1" applyFont="1" applyFill="1" applyBorder="1" applyAlignment="1">
      <alignment horizontal="center" vertical="center"/>
    </xf>
    <xf numFmtId="0" fontId="28" fillId="2" borderId="0" xfId="0" applyFont="1" applyFill="1" applyAlignment="1">
      <alignment vertical="center"/>
    </xf>
    <xf numFmtId="0" fontId="15" fillId="8" borderId="6" xfId="0" applyFont="1" applyFill="1" applyBorder="1" applyAlignment="1">
      <alignment horizontal="left" vertical="center"/>
    </xf>
    <xf numFmtId="0" fontId="21" fillId="5" borderId="0" xfId="0" applyFont="1" applyFill="1"/>
    <xf numFmtId="175" fontId="8" fillId="2" borderId="2" xfId="1" applyNumberFormat="1" applyFont="1" applyFill="1" applyBorder="1"/>
    <xf numFmtId="3" fontId="15" fillId="8" borderId="36" xfId="0" applyNumberFormat="1" applyFont="1" applyFill="1" applyBorder="1" applyAlignment="1">
      <alignment horizontal="right" vertical="center" indent="1"/>
    </xf>
    <xf numFmtId="3" fontId="15" fillId="8" borderId="37" xfId="0" applyNumberFormat="1" applyFont="1" applyFill="1" applyBorder="1" applyAlignment="1">
      <alignment horizontal="right" vertical="center" indent="1"/>
    </xf>
    <xf numFmtId="3" fontId="15" fillId="8" borderId="38" xfId="0" applyNumberFormat="1" applyFont="1" applyFill="1" applyBorder="1" applyAlignment="1">
      <alignment horizontal="right" vertical="center" indent="1"/>
    </xf>
    <xf numFmtId="0" fontId="15" fillId="9" borderId="0" xfId="0" applyFont="1" applyFill="1" applyAlignment="1">
      <alignment horizontal="left" vertical="center" indent="1"/>
    </xf>
    <xf numFmtId="170" fontId="15" fillId="9" borderId="0" xfId="0" applyNumberFormat="1" applyFont="1" applyFill="1" applyAlignment="1">
      <alignment horizontal="center" vertical="center"/>
    </xf>
    <xf numFmtId="170" fontId="15" fillId="9" borderId="25" xfId="0" applyNumberFormat="1" applyFont="1" applyFill="1" applyBorder="1" applyAlignment="1">
      <alignment horizontal="center" vertical="center"/>
    </xf>
    <xf numFmtId="170" fontId="15" fillId="9" borderId="30" xfId="0" applyNumberFormat="1"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wrapText="1"/>
    </xf>
    <xf numFmtId="0" fontId="10" fillId="2" borderId="6" xfId="0" applyFont="1" applyFill="1" applyBorder="1" applyAlignment="1">
      <alignment wrapText="1"/>
    </xf>
    <xf numFmtId="0" fontId="18" fillId="2" borderId="0" xfId="0" applyFont="1" applyFill="1" applyAlignment="1">
      <alignment vertical="center"/>
    </xf>
    <xf numFmtId="0" fontId="8" fillId="2" borderId="74" xfId="0" applyFont="1" applyFill="1" applyBorder="1" applyAlignment="1">
      <alignment horizontal="center" wrapText="1"/>
    </xf>
    <xf numFmtId="0" fontId="10" fillId="2" borderId="76" xfId="0" applyFont="1" applyFill="1" applyBorder="1" applyAlignment="1">
      <alignment horizontal="center" wrapText="1"/>
    </xf>
    <xf numFmtId="0" fontId="10" fillId="2" borderId="77" xfId="0" applyFont="1" applyFill="1" applyBorder="1" applyAlignment="1">
      <alignment horizontal="center" wrapText="1"/>
    </xf>
    <xf numFmtId="0" fontId="10" fillId="2" borderId="78" xfId="0" applyFont="1" applyFill="1" applyBorder="1" applyAlignment="1">
      <alignment horizontal="center" wrapText="1"/>
    </xf>
    <xf numFmtId="0" fontId="10" fillId="2" borderId="6" xfId="0" applyFont="1" applyFill="1" applyBorder="1"/>
    <xf numFmtId="175" fontId="8" fillId="2" borderId="15" xfId="1" applyNumberFormat="1" applyFont="1" applyFill="1" applyBorder="1"/>
    <xf numFmtId="175" fontId="8" fillId="2" borderId="9" xfId="1" applyNumberFormat="1" applyFont="1" applyFill="1" applyBorder="1"/>
    <xf numFmtId="175" fontId="8" fillId="2" borderId="17" xfId="1" applyNumberFormat="1" applyFont="1" applyFill="1" applyBorder="1"/>
    <xf numFmtId="175" fontId="8" fillId="2" borderId="19" xfId="1" applyNumberFormat="1" applyFont="1" applyFill="1" applyBorder="1"/>
    <xf numFmtId="175" fontId="8" fillId="2" borderId="7" xfId="1" applyNumberFormat="1" applyFont="1" applyFill="1" applyBorder="1"/>
    <xf numFmtId="0" fontId="0" fillId="2" borderId="0" xfId="0" applyFill="1"/>
    <xf numFmtId="175" fontId="8" fillId="2" borderId="18" xfId="1" applyNumberFormat="1" applyFont="1" applyFill="1" applyBorder="1"/>
    <xf numFmtId="0" fontId="10" fillId="2" borderId="0" xfId="0" applyFont="1" applyFill="1" applyAlignment="1">
      <alignment vertical="center" wrapText="1"/>
    </xf>
    <xf numFmtId="0" fontId="10" fillId="2" borderId="74" xfId="0" applyFont="1" applyFill="1" applyBorder="1" applyAlignment="1">
      <alignment horizontal="center"/>
    </xf>
    <xf numFmtId="0" fontId="7" fillId="2" borderId="6" xfId="0" applyFont="1" applyFill="1" applyBorder="1" applyAlignment="1">
      <alignment horizontal="left" vertical="center" wrapText="1"/>
    </xf>
    <xf numFmtId="1" fontId="7" fillId="2" borderId="6" xfId="1" applyNumberFormat="1" applyFont="1" applyFill="1" applyBorder="1" applyAlignment="1" applyProtection="1">
      <alignment horizontal="center" vertical="center"/>
    </xf>
    <xf numFmtId="1" fontId="7" fillId="2" borderId="80" xfId="1" applyNumberFormat="1" applyFont="1" applyFill="1" applyBorder="1" applyAlignment="1" applyProtection="1">
      <alignment horizontal="center" vertical="center"/>
    </xf>
    <xf numFmtId="1" fontId="7" fillId="2" borderId="81" xfId="1" applyNumberFormat="1" applyFont="1" applyFill="1" applyBorder="1" applyAlignment="1" applyProtection="1">
      <alignment horizontal="center" vertical="center"/>
    </xf>
    <xf numFmtId="1" fontId="7" fillId="2" borderId="0" xfId="1" applyNumberFormat="1" applyFont="1" applyFill="1" applyBorder="1" applyAlignment="1" applyProtection="1">
      <alignment horizontal="center" vertical="center"/>
    </xf>
    <xf numFmtId="1" fontId="7" fillId="2" borderId="73" xfId="1" applyNumberFormat="1" applyFont="1" applyFill="1" applyBorder="1" applyAlignment="1" applyProtection="1">
      <alignment horizontal="center" vertical="center"/>
    </xf>
    <xf numFmtId="1" fontId="7" fillId="2" borderId="74" xfId="1" applyNumberFormat="1" applyFont="1" applyFill="1" applyBorder="1" applyAlignment="1" applyProtection="1">
      <alignment horizontal="center" vertical="center"/>
    </xf>
    <xf numFmtId="1" fontId="7" fillId="2" borderId="75" xfId="1" applyNumberFormat="1" applyFont="1" applyFill="1" applyBorder="1" applyAlignment="1" applyProtection="1">
      <alignment horizontal="center" vertical="center"/>
    </xf>
    <xf numFmtId="165" fontId="7" fillId="4" borderId="0" xfId="1" applyNumberFormat="1" applyFont="1" applyFill="1" applyBorder="1" applyAlignment="1" applyProtection="1">
      <alignment horizontal="center"/>
      <protection locked="0"/>
    </xf>
    <xf numFmtId="165" fontId="6" fillId="4" borderId="0" xfId="1" applyNumberFormat="1" applyFont="1" applyFill="1" applyBorder="1" applyAlignment="1" applyProtection="1">
      <alignment horizontal="center"/>
      <protection locked="0"/>
    </xf>
    <xf numFmtId="175" fontId="8" fillId="2" borderId="2" xfId="1" applyNumberFormat="1" applyFont="1" applyFill="1" applyBorder="1" applyAlignment="1">
      <alignment horizontal="center"/>
    </xf>
    <xf numFmtId="175" fontId="8" fillId="2" borderId="18" xfId="1" applyNumberFormat="1" applyFont="1" applyFill="1" applyBorder="1" applyAlignment="1">
      <alignment horizontal="center"/>
    </xf>
    <xf numFmtId="165" fontId="6" fillId="7" borderId="0" xfId="1" applyNumberFormat="1" applyFont="1" applyFill="1" applyBorder="1" applyAlignment="1" applyProtection="1">
      <alignment horizontal="center" vertical="center"/>
    </xf>
    <xf numFmtId="0" fontId="22" fillId="7" borderId="93" xfId="0" applyFont="1" applyFill="1" applyBorder="1" applyAlignment="1">
      <alignment horizontal="center" vertical="center"/>
    </xf>
    <xf numFmtId="0" fontId="22" fillId="7" borderId="94" xfId="0" applyFont="1" applyFill="1" applyBorder="1" applyAlignment="1">
      <alignment horizontal="center" vertical="center"/>
    </xf>
    <xf numFmtId="0" fontId="22" fillId="7" borderId="95" xfId="0" applyFont="1" applyFill="1" applyBorder="1" applyAlignment="1">
      <alignment horizontal="center" vertical="center"/>
    </xf>
    <xf numFmtId="0" fontId="22" fillId="7" borderId="0" xfId="0" applyFont="1" applyFill="1" applyAlignment="1">
      <alignment horizontal="center" vertical="center"/>
    </xf>
    <xf numFmtId="168" fontId="11" fillId="4" borderId="2" xfId="2" applyNumberFormat="1" applyFont="1" applyFill="1" applyBorder="1" applyAlignment="1" applyProtection="1">
      <alignment horizontal="center" vertical="center"/>
      <protection locked="0"/>
    </xf>
    <xf numFmtId="168" fontId="11" fillId="4" borderId="15" xfId="2" applyNumberFormat="1" applyFont="1" applyFill="1" applyBorder="1" applyAlignment="1" applyProtection="1">
      <alignment horizontal="center" vertical="center"/>
      <protection locked="0"/>
    </xf>
    <xf numFmtId="168" fontId="11" fillId="4" borderId="9" xfId="2" applyNumberFormat="1" applyFont="1" applyFill="1" applyBorder="1" applyAlignment="1" applyProtection="1">
      <alignment horizontal="center" vertical="center"/>
      <protection locked="0"/>
    </xf>
    <xf numFmtId="168" fontId="11" fillId="4" borderId="16" xfId="2" applyNumberFormat="1" applyFont="1" applyFill="1" applyBorder="1" applyAlignment="1" applyProtection="1">
      <alignment horizontal="center" vertical="center"/>
      <protection locked="0"/>
    </xf>
    <xf numFmtId="168" fontId="11" fillId="4" borderId="17" xfId="2" applyNumberFormat="1" applyFont="1" applyFill="1" applyBorder="1" applyAlignment="1" applyProtection="1">
      <alignment horizontal="center" vertical="center"/>
      <protection locked="0"/>
    </xf>
    <xf numFmtId="168" fontId="11" fillId="4" borderId="18" xfId="2" applyNumberFormat="1" applyFont="1" applyFill="1" applyBorder="1" applyAlignment="1" applyProtection="1">
      <alignment horizontal="center" vertical="center"/>
      <protection locked="0"/>
    </xf>
    <xf numFmtId="168" fontId="11" fillId="4" borderId="19" xfId="2" applyNumberFormat="1" applyFont="1" applyFill="1" applyBorder="1" applyAlignment="1" applyProtection="1">
      <alignment horizontal="center" vertical="center"/>
      <protection locked="0"/>
    </xf>
    <xf numFmtId="168" fontId="11" fillId="4" borderId="7" xfId="2" applyNumberFormat="1" applyFont="1" applyFill="1" applyBorder="1" applyAlignment="1" applyProtection="1">
      <alignment horizontal="center" vertical="center"/>
      <protection locked="0"/>
    </xf>
    <xf numFmtId="168" fontId="11" fillId="4" borderId="20" xfId="2" applyNumberFormat="1" applyFont="1" applyFill="1" applyBorder="1" applyAlignment="1" applyProtection="1">
      <alignment horizontal="center" vertical="center"/>
      <protection locked="0"/>
    </xf>
    <xf numFmtId="175" fontId="8" fillId="2" borderId="90" xfId="1" applyNumberFormat="1" applyFont="1" applyFill="1" applyBorder="1"/>
    <xf numFmtId="175" fontId="8" fillId="2" borderId="4" xfId="1" applyNumberFormat="1" applyFont="1" applyFill="1" applyBorder="1"/>
    <xf numFmtId="0" fontId="7" fillId="2" borderId="0" xfId="0" applyFont="1" applyFill="1" applyAlignment="1">
      <alignment horizontal="left" vertical="center" wrapText="1"/>
    </xf>
    <xf numFmtId="0" fontId="10" fillId="2" borderId="92" xfId="0" applyFont="1" applyFill="1" applyBorder="1" applyAlignment="1">
      <alignment horizontal="center"/>
    </xf>
    <xf numFmtId="0" fontId="10" fillId="2" borderId="8" xfId="0" applyFont="1" applyFill="1" applyBorder="1" applyAlignment="1">
      <alignment horizontal="center"/>
    </xf>
    <xf numFmtId="0" fontId="10" fillId="2" borderId="102" xfId="0" applyFont="1" applyFill="1" applyBorder="1" applyAlignment="1">
      <alignment wrapText="1"/>
    </xf>
    <xf numFmtId="0" fontId="8" fillId="2" borderId="11" xfId="0" applyFont="1" applyFill="1" applyBorder="1" applyAlignment="1">
      <alignment wrapText="1"/>
    </xf>
    <xf numFmtId="0" fontId="8" fillId="2" borderId="12" xfId="0" applyFont="1" applyFill="1" applyBorder="1" applyAlignment="1">
      <alignment wrapText="1"/>
    </xf>
    <xf numFmtId="0" fontId="8" fillId="2" borderId="47" xfId="0" applyFont="1" applyFill="1" applyBorder="1" applyAlignment="1">
      <alignment wrapText="1"/>
    </xf>
    <xf numFmtId="0" fontId="8" fillId="2" borderId="104" xfId="0" applyFont="1" applyFill="1" applyBorder="1" applyAlignment="1">
      <alignment wrapText="1"/>
    </xf>
    <xf numFmtId="0" fontId="10" fillId="2" borderId="105" xfId="0" applyFont="1" applyFill="1" applyBorder="1" applyAlignment="1">
      <alignment wrapText="1"/>
    </xf>
    <xf numFmtId="0" fontId="10" fillId="2" borderId="74" xfId="0" applyFont="1" applyFill="1" applyBorder="1" applyAlignment="1">
      <alignment horizontal="left" vertical="center"/>
    </xf>
    <xf numFmtId="0" fontId="10" fillId="2" borderId="0" xfId="0" applyFont="1" applyFill="1" applyAlignment="1">
      <alignment horizontal="left" vertical="center"/>
    </xf>
    <xf numFmtId="0" fontId="11" fillId="7" borderId="10" xfId="0" applyFont="1" applyFill="1" applyBorder="1"/>
    <xf numFmtId="0" fontId="11" fillId="7" borderId="11" xfId="0" applyFont="1" applyFill="1" applyBorder="1"/>
    <xf numFmtId="0" fontId="10" fillId="2" borderId="6" xfId="0" applyFont="1" applyFill="1" applyBorder="1" applyAlignment="1">
      <alignment vertical="center"/>
    </xf>
    <xf numFmtId="1" fontId="10" fillId="2" borderId="13" xfId="0" applyNumberFormat="1" applyFont="1" applyFill="1" applyBorder="1" applyAlignment="1">
      <alignment horizontal="center" vertical="center" wrapText="1"/>
    </xf>
    <xf numFmtId="1" fontId="10" fillId="2" borderId="6" xfId="0" applyNumberFormat="1" applyFont="1" applyFill="1" applyBorder="1" applyAlignment="1">
      <alignment horizontal="center" vertical="center" wrapText="1"/>
    </xf>
    <xf numFmtId="175" fontId="8" fillId="2" borderId="16" xfId="1" applyNumberFormat="1" applyFont="1" applyFill="1" applyBorder="1"/>
    <xf numFmtId="175" fontId="8" fillId="2" borderId="91" xfId="1" applyNumberFormat="1" applyFont="1" applyFill="1" applyBorder="1"/>
    <xf numFmtId="1" fontId="10" fillId="2" borderId="13" xfId="0" applyNumberFormat="1" applyFont="1" applyFill="1" applyBorder="1" applyAlignment="1">
      <alignment horizontal="center"/>
    </xf>
    <xf numFmtId="1" fontId="10" fillId="2" borderId="8" xfId="0" applyNumberFormat="1" applyFont="1" applyFill="1" applyBorder="1" applyAlignment="1">
      <alignment horizontal="center"/>
    </xf>
    <xf numFmtId="1" fontId="10" fillId="2" borderId="14" xfId="0" applyNumberFormat="1" applyFont="1" applyFill="1" applyBorder="1" applyAlignment="1">
      <alignment horizontal="center"/>
    </xf>
    <xf numFmtId="175" fontId="8" fillId="2" borderId="0" xfId="1" applyNumberFormat="1" applyFont="1" applyFill="1" applyBorder="1"/>
    <xf numFmtId="0" fontId="11" fillId="7" borderId="12" xfId="0" applyFont="1" applyFill="1" applyBorder="1"/>
    <xf numFmtId="175" fontId="8" fillId="2" borderId="73" xfId="1" applyNumberFormat="1" applyFont="1" applyFill="1" applyBorder="1" applyAlignment="1">
      <alignment horizontal="center" wrapText="1"/>
    </xf>
    <xf numFmtId="175" fontId="8" fillId="2" borderId="74" xfId="1" applyNumberFormat="1" applyFont="1" applyFill="1" applyBorder="1" applyAlignment="1">
      <alignment horizontal="center" wrapText="1"/>
    </xf>
    <xf numFmtId="175" fontId="8" fillId="2" borderId="15" xfId="1" applyNumberFormat="1" applyFont="1" applyFill="1" applyBorder="1" applyAlignment="1">
      <alignment horizontal="center"/>
    </xf>
    <xf numFmtId="175" fontId="8" fillId="2" borderId="9" xfId="1" applyNumberFormat="1" applyFont="1" applyFill="1" applyBorder="1" applyAlignment="1">
      <alignment horizontal="center"/>
    </xf>
    <xf numFmtId="175" fontId="8" fillId="2" borderId="16" xfId="1" applyNumberFormat="1" applyFont="1" applyFill="1" applyBorder="1" applyAlignment="1">
      <alignment horizontal="center"/>
    </xf>
    <xf numFmtId="175" fontId="8" fillId="2" borderId="17" xfId="1" applyNumberFormat="1" applyFont="1" applyFill="1" applyBorder="1" applyAlignment="1">
      <alignment horizontal="center"/>
    </xf>
    <xf numFmtId="0" fontId="8" fillId="2" borderId="11" xfId="0" applyFont="1" applyFill="1" applyBorder="1" applyAlignment="1">
      <alignment horizontal="left"/>
    </xf>
    <xf numFmtId="0" fontId="8" fillId="2" borderId="10" xfId="0" applyFont="1" applyFill="1" applyBorder="1" applyAlignment="1">
      <alignment horizontal="left"/>
    </xf>
    <xf numFmtId="0" fontId="8" fillId="2" borderId="12" xfId="0" applyFont="1" applyFill="1" applyBorder="1" applyAlignment="1">
      <alignment horizontal="left"/>
    </xf>
    <xf numFmtId="175" fontId="8" fillId="2" borderId="0" xfId="1" applyNumberFormat="1" applyFont="1" applyFill="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9" fontId="8" fillId="2" borderId="0" xfId="2" applyFont="1" applyFill="1"/>
    <xf numFmtId="9" fontId="8" fillId="2" borderId="15" xfId="2" applyFont="1" applyFill="1" applyBorder="1" applyAlignment="1">
      <alignment horizontal="center"/>
    </xf>
    <xf numFmtId="9" fontId="8" fillId="2" borderId="9" xfId="2" applyFont="1" applyFill="1" applyBorder="1" applyAlignment="1">
      <alignment horizontal="center"/>
    </xf>
    <xf numFmtId="9" fontId="8" fillId="2" borderId="16" xfId="2" applyFont="1" applyFill="1" applyBorder="1" applyAlignment="1">
      <alignment horizontal="center"/>
    </xf>
    <xf numFmtId="0" fontId="8" fillId="2" borderId="106" xfId="0" applyFont="1" applyFill="1" applyBorder="1" applyAlignment="1">
      <alignment horizontal="left" vertical="center"/>
    </xf>
    <xf numFmtId="0" fontId="8" fillId="2" borderId="107" xfId="0" applyFont="1" applyFill="1" applyBorder="1" applyAlignment="1">
      <alignment horizontal="left" vertical="center"/>
    </xf>
    <xf numFmtId="0" fontId="8" fillId="2" borderId="108" xfId="0" applyFont="1" applyFill="1" applyBorder="1" applyAlignment="1">
      <alignment horizontal="left" vertical="center"/>
    </xf>
    <xf numFmtId="175" fontId="8" fillId="2" borderId="20" xfId="1" applyNumberFormat="1" applyFont="1" applyFill="1" applyBorder="1"/>
    <xf numFmtId="0" fontId="6" fillId="3" borderId="0" xfId="0" applyFont="1" applyFill="1" applyAlignment="1">
      <alignment horizontal="center" vertical="center"/>
    </xf>
    <xf numFmtId="0" fontId="7" fillId="2" borderId="0" xfId="0" applyFont="1" applyFill="1" applyAlignment="1">
      <alignment horizontal="center"/>
    </xf>
    <xf numFmtId="169" fontId="11" fillId="4" borderId="0" xfId="1" applyNumberFormat="1" applyFont="1" applyFill="1" applyBorder="1" applyAlignment="1" applyProtection="1">
      <alignment horizontal="right"/>
    </xf>
    <xf numFmtId="169" fontId="11" fillId="4" borderId="0" xfId="1" applyNumberFormat="1" applyFont="1" applyFill="1" applyBorder="1" applyAlignment="1" applyProtection="1">
      <alignment horizontal="right"/>
      <protection locked="0"/>
    </xf>
    <xf numFmtId="0" fontId="29" fillId="2" borderId="0" xfId="0" applyFont="1" applyFill="1"/>
    <xf numFmtId="165" fontId="6" fillId="2" borderId="0" xfId="1" applyNumberFormat="1" applyFont="1" applyFill="1" applyBorder="1" applyAlignment="1" applyProtection="1">
      <alignment horizontal="right"/>
    </xf>
    <xf numFmtId="165" fontId="6" fillId="2" borderId="0" xfId="1" applyNumberFormat="1" applyFont="1" applyFill="1" applyBorder="1" applyAlignment="1" applyProtection="1">
      <alignment horizontal="right" wrapText="1"/>
    </xf>
    <xf numFmtId="0" fontId="31" fillId="11" borderId="0" xfId="0" applyFont="1" applyFill="1"/>
    <xf numFmtId="0" fontId="11" fillId="13" borderId="109" xfId="0" applyFont="1" applyFill="1" applyBorder="1" applyAlignment="1">
      <alignment horizontal="left"/>
    </xf>
    <xf numFmtId="0" fontId="11" fillId="13" borderId="110" xfId="0" applyFont="1" applyFill="1" applyBorder="1" applyAlignment="1">
      <alignment horizontal="left"/>
    </xf>
    <xf numFmtId="0" fontId="11" fillId="13" borderId="111" xfId="0" applyFont="1" applyFill="1" applyBorder="1" applyAlignment="1">
      <alignment horizontal="left"/>
    </xf>
    <xf numFmtId="0" fontId="6" fillId="2" borderId="0" xfId="0" applyFont="1" applyFill="1" applyAlignment="1">
      <alignment horizontal="left"/>
    </xf>
    <xf numFmtId="0" fontId="30" fillId="2" borderId="0" xfId="0" applyFont="1" applyFill="1"/>
    <xf numFmtId="0" fontId="11" fillId="13" borderId="0" xfId="0" applyFont="1" applyFill="1" applyAlignment="1">
      <alignment horizontal="left"/>
    </xf>
    <xf numFmtId="1" fontId="22" fillId="2" borderId="0" xfId="0" applyNumberFormat="1" applyFont="1" applyFill="1" applyAlignment="1">
      <alignment horizontal="center"/>
    </xf>
    <xf numFmtId="1" fontId="22" fillId="2" borderId="13" xfId="0" applyNumberFormat="1" applyFont="1" applyFill="1" applyBorder="1" applyAlignment="1">
      <alignment horizontal="center"/>
    </xf>
    <xf numFmtId="175" fontId="6" fillId="2" borderId="0" xfId="1" applyNumberFormat="1" applyFont="1" applyFill="1" applyBorder="1"/>
    <xf numFmtId="1" fontId="22" fillId="2" borderId="8" xfId="0" applyNumberFormat="1" applyFont="1" applyFill="1" applyBorder="1" applyAlignment="1">
      <alignment horizontal="center"/>
    </xf>
    <xf numFmtId="1" fontId="22" fillId="2" borderId="14" xfId="0" applyNumberFormat="1" applyFont="1" applyFill="1" applyBorder="1" applyAlignment="1">
      <alignment horizontal="center"/>
    </xf>
    <xf numFmtId="0" fontId="22" fillId="13" borderId="6" xfId="0" applyFont="1" applyFill="1" applyBorder="1" applyAlignment="1">
      <alignment horizontal="left"/>
    </xf>
    <xf numFmtId="0" fontId="8" fillId="7" borderId="10" xfId="0" applyFont="1" applyFill="1" applyBorder="1"/>
    <xf numFmtId="0" fontId="8" fillId="7" borderId="11" xfId="0" applyFont="1" applyFill="1" applyBorder="1"/>
    <xf numFmtId="0" fontId="8" fillId="2" borderId="103" xfId="0" applyFont="1" applyFill="1" applyBorder="1"/>
    <xf numFmtId="175" fontId="11" fillId="6" borderId="15" xfId="1" applyNumberFormat="1" applyFont="1" applyFill="1" applyBorder="1"/>
    <xf numFmtId="175" fontId="11" fillId="6" borderId="9" xfId="1" applyNumberFormat="1" applyFont="1" applyFill="1" applyBorder="1"/>
    <xf numFmtId="175" fontId="11" fillId="6" borderId="16" xfId="1" applyNumberFormat="1" applyFont="1" applyFill="1" applyBorder="1"/>
    <xf numFmtId="175" fontId="11" fillId="14" borderId="17" xfId="1" applyNumberFormat="1" applyFont="1" applyFill="1" applyBorder="1" applyAlignment="1">
      <alignment horizontal="center" vertical="center"/>
    </xf>
    <xf numFmtId="175" fontId="11" fillId="14" borderId="2" xfId="1" applyNumberFormat="1" applyFont="1" applyFill="1" applyBorder="1" applyAlignment="1">
      <alignment horizontal="center" vertical="center"/>
    </xf>
    <xf numFmtId="175" fontId="11" fillId="14" borderId="18" xfId="1" applyNumberFormat="1" applyFont="1" applyFill="1" applyBorder="1" applyAlignment="1">
      <alignment horizontal="center" vertical="center"/>
    </xf>
    <xf numFmtId="175" fontId="11" fillId="6" borderId="90" xfId="1" applyNumberFormat="1" applyFont="1" applyFill="1" applyBorder="1" applyAlignment="1"/>
    <xf numFmtId="175" fontId="11" fillId="6" borderId="4" xfId="1" applyNumberFormat="1" applyFont="1" applyFill="1" applyBorder="1" applyAlignment="1"/>
    <xf numFmtId="175" fontId="11" fillId="6" borderId="91" xfId="1" applyNumberFormat="1" applyFont="1" applyFill="1" applyBorder="1" applyAlignment="1"/>
    <xf numFmtId="175" fontId="22" fillId="12" borderId="13" xfId="1" applyNumberFormat="1" applyFont="1" applyFill="1" applyBorder="1" applyAlignment="1" applyProtection="1">
      <alignment horizontal="center"/>
    </xf>
    <xf numFmtId="175" fontId="22" fillId="12" borderId="8" xfId="1" applyNumberFormat="1" applyFont="1" applyFill="1" applyBorder="1" applyAlignment="1">
      <alignment horizontal="center"/>
    </xf>
    <xf numFmtId="175" fontId="22" fillId="12" borderId="14" xfId="1" applyNumberFormat="1" applyFont="1" applyFill="1" applyBorder="1" applyAlignment="1">
      <alignment horizontal="center"/>
    </xf>
    <xf numFmtId="0" fontId="11" fillId="2" borderId="0" xfId="0" applyFont="1" applyFill="1" applyAlignment="1">
      <alignment horizontal="center"/>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11" fillId="13" borderId="114" xfId="0" applyFont="1" applyFill="1" applyBorder="1" applyAlignment="1">
      <alignment horizontal="left"/>
    </xf>
    <xf numFmtId="0" fontId="22" fillId="13" borderId="6" xfId="0" applyFont="1" applyFill="1" applyBorder="1" applyAlignment="1">
      <alignment horizontal="left" vertical="center"/>
    </xf>
    <xf numFmtId="0" fontId="22" fillId="6" borderId="111" xfId="0" applyFont="1" applyFill="1" applyBorder="1" applyAlignment="1">
      <alignment horizontal="left" vertical="center"/>
    </xf>
    <xf numFmtId="175" fontId="10" fillId="12" borderId="13" xfId="1" applyNumberFormat="1" applyFont="1" applyFill="1" applyBorder="1"/>
    <xf numFmtId="175" fontId="10" fillId="12" borderId="8" xfId="1" applyNumberFormat="1" applyFont="1" applyFill="1" applyBorder="1"/>
    <xf numFmtId="175" fontId="10" fillId="12" borderId="14" xfId="1" applyNumberFormat="1" applyFont="1" applyFill="1" applyBorder="1"/>
    <xf numFmtId="0" fontId="10" fillId="6" borderId="80" xfId="0" applyFont="1" applyFill="1" applyBorder="1"/>
    <xf numFmtId="0" fontId="10" fillId="6" borderId="81" xfId="0" applyFont="1" applyFill="1" applyBorder="1"/>
    <xf numFmtId="0" fontId="10" fillId="6" borderId="79" xfId="0" applyFont="1" applyFill="1" applyBorder="1" applyAlignment="1">
      <alignment horizontal="left"/>
    </xf>
    <xf numFmtId="175" fontId="11" fillId="4" borderId="9" xfId="1" applyNumberFormat="1" applyFont="1" applyFill="1" applyBorder="1" applyAlignment="1" applyProtection="1">
      <alignment horizontal="right"/>
      <protection locked="0"/>
    </xf>
    <xf numFmtId="175" fontId="11" fillId="4" borderId="16" xfId="1" applyNumberFormat="1" applyFont="1" applyFill="1" applyBorder="1" applyAlignment="1" applyProtection="1">
      <alignment horizontal="right"/>
      <protection locked="0"/>
    </xf>
    <xf numFmtId="0" fontId="10" fillId="2" borderId="6" xfId="0" applyFont="1" applyFill="1" applyBorder="1" applyAlignment="1">
      <alignment horizontal="left"/>
    </xf>
    <xf numFmtId="0" fontId="10" fillId="2" borderId="0" xfId="0" applyFont="1" applyFill="1" applyAlignment="1">
      <alignment horizontal="left"/>
    </xf>
    <xf numFmtId="0" fontId="10" fillId="12" borderId="6" xfId="0" applyFont="1" applyFill="1" applyBorder="1"/>
    <xf numFmtId="0" fontId="10" fillId="2" borderId="0" xfId="0" applyFont="1" applyFill="1" applyAlignment="1">
      <alignment horizontal="center"/>
    </xf>
    <xf numFmtId="1" fontId="7" fillId="2" borderId="13" xfId="1" applyNumberFormat="1" applyFont="1" applyFill="1" applyBorder="1" applyAlignment="1" applyProtection="1">
      <alignment horizontal="center" vertical="center"/>
    </xf>
    <xf numFmtId="1" fontId="7" fillId="2" borderId="8" xfId="1" applyNumberFormat="1" applyFont="1" applyFill="1" applyBorder="1" applyAlignment="1" applyProtection="1">
      <alignment horizontal="center" vertical="center"/>
    </xf>
    <xf numFmtId="1" fontId="7" fillId="2" borderId="14" xfId="1" applyNumberFormat="1" applyFont="1" applyFill="1" applyBorder="1" applyAlignment="1" applyProtection="1">
      <alignment horizontal="center" vertical="center"/>
    </xf>
    <xf numFmtId="175" fontId="11" fillId="15" borderId="17" xfId="1" applyNumberFormat="1" applyFont="1" applyFill="1" applyBorder="1" applyAlignment="1" applyProtection="1">
      <alignment horizontal="right"/>
    </xf>
    <xf numFmtId="175" fontId="11" fillId="15" borderId="2" xfId="1" applyNumberFormat="1" applyFont="1" applyFill="1" applyBorder="1" applyAlignment="1" applyProtection="1">
      <alignment horizontal="right"/>
      <protection locked="0"/>
    </xf>
    <xf numFmtId="175" fontId="11" fillId="15" borderId="18" xfId="1" applyNumberFormat="1" applyFont="1" applyFill="1" applyBorder="1" applyAlignment="1" applyProtection="1">
      <alignment horizontal="right"/>
      <protection locked="0"/>
    </xf>
    <xf numFmtId="0" fontId="22" fillId="2" borderId="13" xfId="0" applyFont="1" applyFill="1" applyBorder="1" applyAlignment="1">
      <alignment horizontal="center" wrapText="1"/>
    </xf>
    <xf numFmtId="0" fontId="22" fillId="2" borderId="8" xfId="0" applyFont="1" applyFill="1" applyBorder="1" applyAlignment="1">
      <alignment horizontal="center" wrapText="1"/>
    </xf>
    <xf numFmtId="175" fontId="11" fillId="6" borderId="17" xfId="1" applyNumberFormat="1" applyFont="1" applyFill="1" applyBorder="1" applyAlignment="1"/>
    <xf numFmtId="175" fontId="11" fillId="6" borderId="2" xfId="1" applyNumberFormat="1" applyFont="1" applyFill="1" applyBorder="1" applyAlignment="1"/>
    <xf numFmtId="175" fontId="11" fillId="6" borderId="18" xfId="1" applyNumberFormat="1" applyFont="1" applyFill="1" applyBorder="1" applyAlignment="1"/>
    <xf numFmtId="175" fontId="11" fillId="14" borderId="90" xfId="1" applyNumberFormat="1" applyFont="1" applyFill="1" applyBorder="1" applyAlignment="1">
      <alignment horizontal="center" vertical="center"/>
    </xf>
    <xf numFmtId="175" fontId="11" fillId="14" borderId="4" xfId="1" applyNumberFormat="1" applyFont="1" applyFill="1" applyBorder="1" applyAlignment="1">
      <alignment horizontal="center" vertical="center"/>
    </xf>
    <xf numFmtId="175" fontId="11" fillId="14" borderId="91" xfId="1" applyNumberFormat="1" applyFont="1" applyFill="1" applyBorder="1" applyAlignment="1">
      <alignment horizontal="center" vertical="center"/>
    </xf>
    <xf numFmtId="164" fontId="8" fillId="2" borderId="19" xfId="1" applyFont="1" applyFill="1" applyBorder="1"/>
    <xf numFmtId="164" fontId="8" fillId="2" borderId="7" xfId="1" applyFont="1" applyFill="1" applyBorder="1"/>
    <xf numFmtId="0" fontId="10" fillId="7" borderId="14" xfId="0" applyFont="1" applyFill="1" applyBorder="1" applyAlignment="1">
      <alignment horizontal="center" wrapText="1"/>
    </xf>
    <xf numFmtId="167" fontId="19" fillId="11" borderId="0" xfId="3" applyNumberFormat="1" applyFont="1" applyFill="1" applyBorder="1" applyAlignment="1" applyProtection="1">
      <alignment horizontal="right" vertical="center"/>
    </xf>
    <xf numFmtId="9" fontId="6" fillId="2" borderId="0" xfId="5" applyFont="1" applyFill="1" applyBorder="1" applyAlignment="1" applyProtection="1">
      <alignment horizontal="center" vertical="center"/>
    </xf>
    <xf numFmtId="167" fontId="30" fillId="11" borderId="0" xfId="3" applyNumberFormat="1" applyFont="1" applyFill="1" applyBorder="1" applyAlignment="1" applyProtection="1">
      <alignment vertical="center"/>
    </xf>
    <xf numFmtId="175" fontId="8" fillId="2" borderId="0" xfId="1" applyNumberFormat="1" applyFont="1" applyFill="1"/>
    <xf numFmtId="14" fontId="0" fillId="0" borderId="0" xfId="0" applyNumberFormat="1"/>
    <xf numFmtId="3" fontId="0" fillId="0" borderId="0" xfId="0" applyNumberFormat="1"/>
    <xf numFmtId="9" fontId="8" fillId="2" borderId="0" xfId="0" applyNumberFormat="1" applyFont="1" applyFill="1"/>
    <xf numFmtId="175" fontId="11" fillId="4" borderId="15" xfId="1" applyNumberFormat="1" applyFont="1" applyFill="1" applyBorder="1" applyAlignment="1" applyProtection="1">
      <alignment horizontal="right" vertical="center"/>
    </xf>
    <xf numFmtId="175" fontId="11" fillId="4" borderId="17" xfId="1" applyNumberFormat="1" applyFont="1" applyFill="1" applyBorder="1" applyAlignment="1" applyProtection="1">
      <alignment horizontal="right" vertical="center"/>
    </xf>
    <xf numFmtId="175" fontId="11" fillId="4" borderId="2" xfId="1" applyNumberFormat="1" applyFont="1" applyFill="1" applyBorder="1" applyAlignment="1" applyProtection="1">
      <alignment horizontal="right"/>
      <protection locked="0"/>
    </xf>
    <xf numFmtId="175" fontId="11" fillId="4" borderId="18" xfId="1" applyNumberFormat="1" applyFont="1" applyFill="1" applyBorder="1" applyAlignment="1" applyProtection="1">
      <alignment horizontal="right"/>
      <protection locked="0"/>
    </xf>
    <xf numFmtId="175" fontId="22" fillId="2" borderId="17" xfId="1" applyNumberFormat="1" applyFont="1" applyFill="1" applyBorder="1" applyAlignment="1" applyProtection="1">
      <alignment horizontal="center"/>
    </xf>
    <xf numFmtId="175" fontId="22" fillId="2" borderId="2" xfId="1" applyNumberFormat="1" applyFont="1" applyFill="1" applyBorder="1" applyAlignment="1">
      <alignment horizontal="center"/>
    </xf>
    <xf numFmtId="175" fontId="22" fillId="2" borderId="18" xfId="1" applyNumberFormat="1" applyFont="1" applyFill="1" applyBorder="1" applyAlignment="1">
      <alignment horizontal="center"/>
    </xf>
    <xf numFmtId="175" fontId="11" fillId="4" borderId="17" xfId="1" applyNumberFormat="1" applyFont="1" applyFill="1" applyBorder="1" applyAlignment="1" applyProtection="1">
      <alignment horizontal="right"/>
    </xf>
    <xf numFmtId="0" fontId="6" fillId="2" borderId="11" xfId="0" applyFont="1" applyFill="1" applyBorder="1" applyAlignment="1">
      <alignment horizontal="left" vertical="center"/>
    </xf>
    <xf numFmtId="9" fontId="8" fillId="2" borderId="2" xfId="2" applyFont="1" applyFill="1" applyBorder="1"/>
    <xf numFmtId="9" fontId="8" fillId="2" borderId="18" xfId="2" applyFont="1" applyFill="1" applyBorder="1"/>
    <xf numFmtId="175" fontId="8" fillId="10" borderId="17" xfId="1" applyNumberFormat="1" applyFont="1" applyFill="1" applyBorder="1"/>
    <xf numFmtId="169" fontId="8" fillId="2" borderId="17" xfId="1" applyNumberFormat="1" applyFont="1" applyFill="1" applyBorder="1"/>
    <xf numFmtId="9" fontId="8" fillId="2" borderId="17" xfId="2" applyFont="1" applyFill="1" applyBorder="1"/>
    <xf numFmtId="0" fontId="6" fillId="2" borderId="10" xfId="0" applyFont="1" applyFill="1" applyBorder="1" applyAlignment="1">
      <alignment horizontal="left" vertical="center"/>
    </xf>
    <xf numFmtId="0" fontId="6" fillId="2" borderId="12" xfId="0" applyFont="1" applyFill="1" applyBorder="1" applyAlignment="1">
      <alignment horizontal="left" vertical="center"/>
    </xf>
    <xf numFmtId="0" fontId="6" fillId="2" borderId="6" xfId="0" applyFont="1" applyFill="1" applyBorder="1" applyAlignment="1">
      <alignment horizontal="left" vertical="center"/>
    </xf>
    <xf numFmtId="0" fontId="8" fillId="2" borderId="10" xfId="0" applyFont="1" applyFill="1" applyBorder="1" applyAlignment="1">
      <alignment wrapText="1"/>
    </xf>
    <xf numFmtId="175" fontId="8" fillId="2" borderId="13" xfId="1" applyNumberFormat="1" applyFont="1" applyFill="1" applyBorder="1"/>
    <xf numFmtId="175" fontId="8" fillId="2" borderId="8" xfId="1" applyNumberFormat="1" applyFont="1" applyFill="1" applyBorder="1"/>
    <xf numFmtId="175" fontId="8" fillId="2" borderId="14" xfId="1" applyNumberFormat="1" applyFont="1" applyFill="1" applyBorder="1"/>
    <xf numFmtId="9" fontId="8" fillId="2" borderId="17" xfId="2" applyFont="1" applyFill="1" applyBorder="1" applyAlignment="1">
      <alignment horizontal="center"/>
    </xf>
    <xf numFmtId="9" fontId="8" fillId="2" borderId="2" xfId="2" applyFont="1" applyFill="1" applyBorder="1" applyAlignment="1">
      <alignment horizontal="center"/>
    </xf>
    <xf numFmtId="9" fontId="8" fillId="2" borderId="18" xfId="2" applyFont="1" applyFill="1" applyBorder="1" applyAlignment="1">
      <alignment horizontal="center"/>
    </xf>
    <xf numFmtId="9" fontId="8" fillId="2" borderId="19" xfId="2" applyFont="1" applyFill="1" applyBorder="1" applyAlignment="1">
      <alignment horizontal="center"/>
    </xf>
    <xf numFmtId="9" fontId="8" fillId="2" borderId="7" xfId="2" applyFont="1" applyFill="1" applyBorder="1" applyAlignment="1">
      <alignment horizontal="center"/>
    </xf>
    <xf numFmtId="9" fontId="8" fillId="2" borderId="20" xfId="2" applyFont="1" applyFill="1" applyBorder="1" applyAlignment="1">
      <alignment horizontal="center"/>
    </xf>
    <xf numFmtId="0" fontId="6" fillId="2" borderId="115" xfId="0" applyFont="1" applyFill="1" applyBorder="1" applyAlignment="1">
      <alignment horizontal="left" vertical="center"/>
    </xf>
    <xf numFmtId="9" fontId="8" fillId="2" borderId="0" xfId="2" applyFont="1" applyFill="1" applyBorder="1"/>
    <xf numFmtId="0" fontId="15" fillId="5" borderId="0" xfId="0" applyFont="1" applyFill="1"/>
    <xf numFmtId="0" fontId="7" fillId="0" borderId="6" xfId="0" applyFont="1" applyBorder="1" applyAlignment="1">
      <alignment horizontal="left" vertical="center"/>
    </xf>
    <xf numFmtId="1" fontId="10" fillId="2" borderId="73" xfId="0" applyNumberFormat="1" applyFont="1" applyFill="1" applyBorder="1" applyAlignment="1">
      <alignment horizontal="center"/>
    </xf>
    <xf numFmtId="1" fontId="10" fillId="2" borderId="74" xfId="0" applyNumberFormat="1" applyFont="1" applyFill="1" applyBorder="1" applyAlignment="1">
      <alignment horizontal="center"/>
    </xf>
    <xf numFmtId="1" fontId="10" fillId="2" borderId="75" xfId="0" applyNumberFormat="1" applyFont="1" applyFill="1" applyBorder="1" applyAlignment="1">
      <alignment horizontal="center"/>
    </xf>
    <xf numFmtId="175" fontId="10" fillId="16" borderId="17" xfId="1" applyNumberFormat="1" applyFont="1" applyFill="1" applyBorder="1"/>
    <xf numFmtId="175" fontId="10" fillId="16" borderId="2" xfId="1" applyNumberFormat="1" applyFont="1" applyFill="1" applyBorder="1"/>
    <xf numFmtId="175" fontId="10" fillId="16" borderId="18" xfId="1" applyNumberFormat="1" applyFont="1" applyFill="1" applyBorder="1"/>
    <xf numFmtId="175" fontId="10" fillId="8" borderId="17" xfId="1" applyNumberFormat="1" applyFont="1" applyFill="1" applyBorder="1"/>
    <xf numFmtId="175" fontId="10" fillId="8" borderId="18" xfId="1" applyNumberFormat="1" applyFont="1" applyFill="1" applyBorder="1"/>
    <xf numFmtId="175" fontId="10" fillId="16" borderId="19" xfId="1" applyNumberFormat="1" applyFont="1" applyFill="1" applyBorder="1"/>
    <xf numFmtId="175" fontId="10" fillId="16" borderId="7" xfId="1" applyNumberFormat="1" applyFont="1" applyFill="1" applyBorder="1"/>
    <xf numFmtId="175" fontId="10" fillId="16" borderId="20" xfId="1" applyNumberFormat="1" applyFont="1" applyFill="1" applyBorder="1"/>
    <xf numFmtId="175" fontId="10" fillId="16" borderId="13" xfId="1" applyNumberFormat="1" applyFont="1" applyFill="1" applyBorder="1"/>
    <xf numFmtId="175" fontId="10" fillId="16" borderId="8" xfId="1" applyNumberFormat="1" applyFont="1" applyFill="1" applyBorder="1"/>
    <xf numFmtId="175" fontId="10" fillId="16" borderId="14" xfId="1" applyNumberFormat="1" applyFont="1" applyFill="1" applyBorder="1"/>
    <xf numFmtId="168" fontId="11" fillId="4" borderId="0" xfId="2" applyNumberFormat="1" applyFont="1" applyFill="1" applyBorder="1" applyAlignment="1" applyProtection="1">
      <alignment horizontal="center" vertical="center"/>
      <protection locked="0"/>
    </xf>
    <xf numFmtId="168" fontId="11" fillId="4" borderId="13" xfId="2" applyNumberFormat="1" applyFont="1" applyFill="1" applyBorder="1" applyAlignment="1" applyProtection="1">
      <alignment horizontal="center" vertical="center"/>
      <protection locked="0"/>
    </xf>
    <xf numFmtId="168" fontId="11" fillId="4" borderId="8" xfId="2" applyNumberFormat="1" applyFont="1" applyFill="1" applyBorder="1" applyAlignment="1" applyProtection="1">
      <alignment horizontal="center" vertical="center"/>
      <protection locked="0"/>
    </xf>
    <xf numFmtId="168" fontId="11" fillId="4" borderId="14" xfId="2" applyNumberFormat="1" applyFont="1" applyFill="1" applyBorder="1" applyAlignment="1" applyProtection="1">
      <alignment horizontal="center" vertical="center"/>
      <protection locked="0"/>
    </xf>
    <xf numFmtId="175" fontId="22" fillId="17" borderId="15" xfId="1" applyNumberFormat="1" applyFont="1" applyFill="1" applyBorder="1" applyAlignment="1" applyProtection="1">
      <alignment horizontal="left" indent="2"/>
    </xf>
    <xf numFmtId="175" fontId="22" fillId="18" borderId="9" xfId="1" applyNumberFormat="1" applyFont="1" applyFill="1" applyBorder="1" applyAlignment="1" applyProtection="1">
      <alignment horizontal="right"/>
      <protection locked="0"/>
    </xf>
    <xf numFmtId="175" fontId="22" fillId="18" borderId="16" xfId="1" applyNumberFormat="1" applyFont="1" applyFill="1" applyBorder="1" applyAlignment="1" applyProtection="1">
      <alignment horizontal="right"/>
      <protection locked="0"/>
    </xf>
    <xf numFmtId="175" fontId="22" fillId="17" borderId="19" xfId="1" applyNumberFormat="1" applyFont="1" applyFill="1" applyBorder="1" applyAlignment="1" applyProtection="1">
      <alignment horizontal="left" indent="2"/>
    </xf>
    <xf numFmtId="175" fontId="22" fillId="18" borderId="7" xfId="1" applyNumberFormat="1" applyFont="1" applyFill="1" applyBorder="1" applyAlignment="1" applyProtection="1">
      <alignment horizontal="right"/>
      <protection locked="0"/>
    </xf>
    <xf numFmtId="175" fontId="22" fillId="18" borderId="20" xfId="1" applyNumberFormat="1" applyFont="1" applyFill="1" applyBorder="1" applyAlignment="1" applyProtection="1">
      <alignment horizontal="right"/>
      <protection locked="0"/>
    </xf>
    <xf numFmtId="175" fontId="8" fillId="2" borderId="90" xfId="1" applyNumberFormat="1" applyFont="1" applyFill="1" applyBorder="1" applyAlignment="1">
      <alignment horizontal="center"/>
    </xf>
    <xf numFmtId="175" fontId="8" fillId="2" borderId="13" xfId="1" applyNumberFormat="1" applyFont="1" applyFill="1" applyBorder="1" applyAlignment="1">
      <alignment horizontal="center"/>
    </xf>
    <xf numFmtId="175" fontId="6" fillId="19" borderId="15" xfId="1" applyNumberFormat="1" applyFont="1" applyFill="1" applyBorder="1" applyAlignment="1" applyProtection="1">
      <alignment vertical="center"/>
      <protection locked="0"/>
    </xf>
    <xf numFmtId="175" fontId="6" fillId="19" borderId="9" xfId="1" applyNumberFormat="1" applyFont="1" applyFill="1" applyBorder="1" applyAlignment="1" applyProtection="1">
      <alignment vertical="center"/>
      <protection locked="0"/>
    </xf>
    <xf numFmtId="175" fontId="6" fillId="19" borderId="16" xfId="1" applyNumberFormat="1" applyFont="1" applyFill="1" applyBorder="1" applyAlignment="1" applyProtection="1">
      <alignment vertical="center"/>
      <protection locked="0"/>
    </xf>
    <xf numFmtId="175" fontId="6" fillId="19" borderId="17" xfId="1" applyNumberFormat="1" applyFont="1" applyFill="1" applyBorder="1" applyAlignment="1" applyProtection="1">
      <alignment vertical="center"/>
      <protection locked="0"/>
    </xf>
    <xf numFmtId="175" fontId="6" fillId="19" borderId="2" xfId="1" applyNumberFormat="1" applyFont="1" applyFill="1" applyBorder="1" applyAlignment="1" applyProtection="1">
      <alignment vertical="center"/>
      <protection locked="0"/>
    </xf>
    <xf numFmtId="175" fontId="6" fillId="19" borderId="18" xfId="1" applyNumberFormat="1" applyFont="1" applyFill="1" applyBorder="1" applyAlignment="1" applyProtection="1">
      <alignment vertical="center"/>
      <protection locked="0"/>
    </xf>
    <xf numFmtId="175" fontId="6" fillId="20" borderId="17" xfId="1" applyNumberFormat="1" applyFont="1" applyFill="1" applyBorder="1" applyAlignment="1" applyProtection="1">
      <alignment horizontal="center" vertical="center"/>
    </xf>
    <xf numFmtId="175" fontId="6" fillId="20" borderId="2" xfId="1" applyNumberFormat="1" applyFont="1" applyFill="1" applyBorder="1" applyAlignment="1" applyProtection="1">
      <alignment horizontal="center" vertical="center"/>
    </xf>
    <xf numFmtId="175" fontId="6" fillId="20" borderId="18" xfId="1" applyNumberFormat="1" applyFont="1" applyFill="1" applyBorder="1" applyAlignment="1" applyProtection="1">
      <alignment horizontal="center" vertical="center"/>
    </xf>
    <xf numFmtId="175" fontId="6" fillId="19" borderId="17" xfId="1" applyNumberFormat="1" applyFont="1" applyFill="1" applyBorder="1" applyAlignment="1" applyProtection="1">
      <alignment horizontal="center" vertical="center"/>
      <protection locked="0"/>
    </xf>
    <xf numFmtId="175" fontId="6" fillId="19" borderId="2" xfId="1" applyNumberFormat="1" applyFont="1" applyFill="1" applyBorder="1" applyAlignment="1" applyProtection="1">
      <alignment horizontal="center" vertical="center"/>
      <protection locked="0"/>
    </xf>
    <xf numFmtId="175" fontId="6" fillId="19" borderId="18" xfId="1" applyNumberFormat="1" applyFont="1" applyFill="1" applyBorder="1" applyAlignment="1" applyProtection="1">
      <alignment horizontal="center" vertical="center"/>
      <protection locked="0"/>
    </xf>
    <xf numFmtId="175" fontId="6" fillId="19" borderId="15" xfId="1" applyNumberFormat="1" applyFont="1" applyFill="1" applyBorder="1" applyAlignment="1" applyProtection="1">
      <alignment horizontal="center" vertical="center"/>
      <protection locked="0"/>
    </xf>
    <xf numFmtId="175" fontId="6" fillId="19" borderId="9" xfId="1" applyNumberFormat="1" applyFont="1" applyFill="1" applyBorder="1" applyAlignment="1" applyProtection="1">
      <alignment horizontal="center" vertical="center"/>
      <protection locked="0"/>
    </xf>
    <xf numFmtId="175" fontId="6" fillId="19" borderId="16" xfId="1" applyNumberFormat="1" applyFont="1" applyFill="1" applyBorder="1" applyAlignment="1" applyProtection="1">
      <alignment horizontal="center" vertical="center"/>
      <protection locked="0"/>
    </xf>
    <xf numFmtId="175" fontId="6" fillId="19" borderId="15" xfId="1" applyNumberFormat="1" applyFont="1" applyFill="1" applyBorder="1" applyAlignment="1" applyProtection="1">
      <protection locked="0"/>
    </xf>
    <xf numFmtId="175" fontId="6" fillId="19" borderId="9" xfId="1" applyNumberFormat="1" applyFont="1" applyFill="1" applyBorder="1" applyAlignment="1" applyProtection="1">
      <protection locked="0"/>
    </xf>
    <xf numFmtId="175" fontId="6" fillId="19" borderId="17" xfId="1" applyNumberFormat="1" applyFont="1" applyFill="1" applyBorder="1" applyAlignment="1" applyProtection="1">
      <protection locked="0"/>
    </xf>
    <xf numFmtId="175" fontId="6" fillId="19" borderId="2" xfId="1" applyNumberFormat="1" applyFont="1" applyFill="1" applyBorder="1" applyAlignment="1" applyProtection="1">
      <protection locked="0"/>
    </xf>
    <xf numFmtId="175" fontId="12" fillId="19" borderId="17" xfId="1" applyNumberFormat="1" applyFont="1" applyFill="1" applyBorder="1" applyAlignment="1" applyProtection="1">
      <protection locked="0"/>
    </xf>
    <xf numFmtId="175" fontId="12" fillId="19" borderId="2" xfId="1" applyNumberFormat="1" applyFont="1" applyFill="1" applyBorder="1" applyAlignment="1" applyProtection="1">
      <protection locked="0"/>
    </xf>
    <xf numFmtId="175" fontId="12" fillId="19" borderId="18" xfId="1" applyNumberFormat="1" applyFont="1" applyFill="1" applyBorder="1" applyAlignment="1" applyProtection="1">
      <alignment vertical="center"/>
      <protection locked="0"/>
    </xf>
    <xf numFmtId="175" fontId="12" fillId="19" borderId="15" xfId="1" applyNumberFormat="1" applyFont="1" applyFill="1" applyBorder="1" applyAlignment="1" applyProtection="1">
      <protection locked="0"/>
    </xf>
    <xf numFmtId="175" fontId="12" fillId="19" borderId="9" xfId="1" applyNumberFormat="1" applyFont="1" applyFill="1" applyBorder="1" applyAlignment="1" applyProtection="1">
      <protection locked="0"/>
    </xf>
    <xf numFmtId="175" fontId="12" fillId="19" borderId="16" xfId="1" applyNumberFormat="1" applyFont="1" applyFill="1" applyBorder="1" applyAlignment="1" applyProtection="1">
      <alignment vertical="center"/>
      <protection locked="0"/>
    </xf>
    <xf numFmtId="175" fontId="12" fillId="19" borderId="17" xfId="1" applyNumberFormat="1" applyFont="1" applyFill="1" applyBorder="1" applyAlignment="1" applyProtection="1">
      <alignment vertical="center"/>
      <protection locked="0"/>
    </xf>
    <xf numFmtId="175" fontId="12" fillId="19" borderId="2" xfId="1" applyNumberFormat="1" applyFont="1" applyFill="1" applyBorder="1" applyAlignment="1" applyProtection="1">
      <alignment vertical="center"/>
      <protection locked="0"/>
    </xf>
    <xf numFmtId="175" fontId="8" fillId="20" borderId="17" xfId="1" applyNumberFormat="1" applyFont="1" applyFill="1" applyBorder="1"/>
    <xf numFmtId="175" fontId="8" fillId="20" borderId="2" xfId="1" applyNumberFormat="1" applyFont="1" applyFill="1" applyBorder="1"/>
    <xf numFmtId="175" fontId="8" fillId="20" borderId="18" xfId="1" applyNumberFormat="1" applyFont="1" applyFill="1" applyBorder="1"/>
    <xf numFmtId="175" fontId="6" fillId="19" borderId="90" xfId="1" applyNumberFormat="1" applyFont="1" applyFill="1" applyBorder="1" applyAlignment="1" applyProtection="1">
      <alignment vertical="center"/>
      <protection locked="0"/>
    </xf>
    <xf numFmtId="175" fontId="6" fillId="19" borderId="4" xfId="1" applyNumberFormat="1" applyFont="1" applyFill="1" applyBorder="1" applyAlignment="1" applyProtection="1">
      <alignment vertical="center"/>
      <protection locked="0"/>
    </xf>
    <xf numFmtId="175" fontId="6" fillId="19" borderId="91" xfId="1" applyNumberFormat="1" applyFont="1" applyFill="1" applyBorder="1" applyAlignment="1" applyProtection="1">
      <alignment vertical="center"/>
      <protection locked="0"/>
    </xf>
    <xf numFmtId="3" fontId="6" fillId="20" borderId="17" xfId="0" applyNumberFormat="1" applyFont="1" applyFill="1" applyBorder="1" applyAlignment="1" applyProtection="1">
      <alignment vertical="center" wrapText="1"/>
      <protection locked="0"/>
    </xf>
    <xf numFmtId="3" fontId="6" fillId="20" borderId="2" xfId="0" applyNumberFormat="1" applyFont="1" applyFill="1" applyBorder="1" applyAlignment="1" applyProtection="1">
      <alignment vertical="center" wrapText="1"/>
      <protection locked="0"/>
    </xf>
    <xf numFmtId="0" fontId="7" fillId="16" borderId="11" xfId="0" applyFont="1" applyFill="1" applyBorder="1" applyAlignment="1">
      <alignment vertical="center"/>
    </xf>
    <xf numFmtId="175" fontId="15" fillId="18" borderId="18" xfId="1" applyNumberFormat="1" applyFont="1" applyFill="1" applyBorder="1" applyAlignment="1" applyProtection="1">
      <alignment vertical="center"/>
      <protection locked="0"/>
    </xf>
    <xf numFmtId="175" fontId="22" fillId="18" borderId="17" xfId="1" applyNumberFormat="1" applyFont="1" applyFill="1" applyBorder="1" applyAlignment="1" applyProtection="1">
      <alignment vertical="center"/>
      <protection locked="0"/>
    </xf>
    <xf numFmtId="175" fontId="22" fillId="18" borderId="2" xfId="1" applyNumberFormat="1" applyFont="1" applyFill="1" applyBorder="1" applyAlignment="1" applyProtection="1">
      <alignment vertical="center"/>
      <protection locked="0"/>
    </xf>
    <xf numFmtId="175" fontId="22" fillId="18" borderId="18" xfId="1" applyNumberFormat="1" applyFont="1" applyFill="1" applyBorder="1" applyAlignment="1" applyProtection="1">
      <alignment vertical="center"/>
      <protection locked="0"/>
    </xf>
    <xf numFmtId="175" fontId="22" fillId="18" borderId="19" xfId="1" applyNumberFormat="1" applyFont="1" applyFill="1" applyBorder="1" applyAlignment="1" applyProtection="1">
      <alignment vertical="center"/>
      <protection locked="0"/>
    </xf>
    <xf numFmtId="175" fontId="22" fillId="18" borderId="7" xfId="1" applyNumberFormat="1" applyFont="1" applyFill="1" applyBorder="1" applyAlignment="1" applyProtection="1">
      <alignment vertical="center"/>
      <protection locked="0"/>
    </xf>
    <xf numFmtId="175" fontId="22" fillId="18" borderId="20" xfId="1" applyNumberFormat="1" applyFont="1" applyFill="1" applyBorder="1" applyAlignment="1" applyProtection="1">
      <alignment vertical="center"/>
      <protection locked="0"/>
    </xf>
    <xf numFmtId="175" fontId="15" fillId="18" borderId="16" xfId="1" applyNumberFormat="1" applyFont="1" applyFill="1" applyBorder="1" applyAlignment="1" applyProtection="1">
      <alignment vertical="center"/>
      <protection locked="0"/>
    </xf>
    <xf numFmtId="175" fontId="15" fillId="18" borderId="20" xfId="1" applyNumberFormat="1" applyFont="1" applyFill="1" applyBorder="1" applyAlignment="1" applyProtection="1">
      <alignment vertical="center"/>
      <protection locked="0"/>
    </xf>
    <xf numFmtId="175" fontId="15" fillId="18" borderId="10" xfId="1" applyNumberFormat="1" applyFont="1" applyFill="1" applyBorder="1" applyAlignment="1" applyProtection="1">
      <alignment vertical="center"/>
      <protection locked="0"/>
    </xf>
    <xf numFmtId="175" fontId="15" fillId="18" borderId="11" xfId="1" applyNumberFormat="1" applyFont="1" applyFill="1" applyBorder="1" applyAlignment="1" applyProtection="1">
      <alignment vertical="center"/>
      <protection locked="0"/>
    </xf>
    <xf numFmtId="175" fontId="15" fillId="18" borderId="12" xfId="1" applyNumberFormat="1" applyFont="1" applyFill="1" applyBorder="1" applyAlignment="1" applyProtection="1">
      <alignment vertical="center"/>
      <protection locked="0"/>
    </xf>
    <xf numFmtId="175" fontId="22" fillId="18" borderId="14" xfId="1" applyNumberFormat="1" applyFont="1" applyFill="1" applyBorder="1" applyAlignment="1" applyProtection="1">
      <alignment vertical="center"/>
      <protection locked="0"/>
    </xf>
    <xf numFmtId="3" fontId="9" fillId="20" borderId="17" xfId="0" applyNumberFormat="1" applyFont="1" applyFill="1" applyBorder="1" applyAlignment="1" applyProtection="1">
      <alignment vertical="center" wrapText="1"/>
      <protection locked="0"/>
    </xf>
    <xf numFmtId="3" fontId="7" fillId="16" borderId="19" xfId="0" applyNumberFormat="1" applyFont="1" applyFill="1" applyBorder="1" applyAlignment="1">
      <alignment vertical="center" wrapText="1"/>
    </xf>
    <xf numFmtId="3" fontId="7" fillId="16" borderId="7" xfId="0" applyNumberFormat="1" applyFont="1" applyFill="1" applyBorder="1" applyAlignment="1">
      <alignment vertical="center" wrapText="1"/>
    </xf>
    <xf numFmtId="175" fontId="10" fillId="16" borderId="65" xfId="1" applyNumberFormat="1" applyFont="1" applyFill="1" applyBorder="1" applyAlignment="1">
      <alignment horizontal="center" vertical="center" wrapText="1"/>
    </xf>
    <xf numFmtId="175" fontId="10" fillId="16" borderId="28" xfId="1" applyNumberFormat="1" applyFont="1" applyFill="1" applyBorder="1" applyAlignment="1">
      <alignment horizontal="center" wrapText="1"/>
    </xf>
    <xf numFmtId="175" fontId="10" fillId="16" borderId="29" xfId="1" applyNumberFormat="1" applyFont="1" applyFill="1" applyBorder="1" applyAlignment="1">
      <alignment horizontal="center" wrapText="1"/>
    </xf>
    <xf numFmtId="175" fontId="10" fillId="16" borderId="6" xfId="1" applyNumberFormat="1" applyFont="1" applyFill="1" applyBorder="1" applyAlignment="1">
      <alignment horizontal="center" wrapText="1"/>
    </xf>
    <xf numFmtId="175" fontId="14" fillId="16" borderId="10" xfId="1" applyNumberFormat="1" applyFont="1" applyFill="1" applyBorder="1" applyAlignment="1" applyProtection="1">
      <alignment horizontal="center" vertical="center"/>
    </xf>
    <xf numFmtId="175" fontId="14" fillId="16" borderId="11" xfId="1" applyNumberFormat="1" applyFont="1" applyFill="1" applyBorder="1" applyAlignment="1" applyProtection="1">
      <alignment horizontal="center" vertical="center"/>
    </xf>
    <xf numFmtId="175" fontId="14" fillId="16" borderId="12" xfId="1" applyNumberFormat="1" applyFont="1" applyFill="1" applyBorder="1" applyAlignment="1" applyProtection="1">
      <alignment horizontal="center" vertical="center"/>
    </xf>
    <xf numFmtId="175" fontId="22" fillId="16" borderId="10" xfId="1" applyNumberFormat="1" applyFont="1" applyFill="1" applyBorder="1" applyAlignment="1" applyProtection="1">
      <alignment horizontal="center" vertical="center"/>
    </xf>
    <xf numFmtId="175" fontId="22" fillId="16" borderId="11" xfId="1" applyNumberFormat="1" applyFont="1" applyFill="1" applyBorder="1" applyAlignment="1" applyProtection="1">
      <alignment horizontal="center" vertical="center"/>
    </xf>
    <xf numFmtId="175" fontId="22" fillId="16" borderId="12" xfId="1" applyNumberFormat="1" applyFont="1" applyFill="1" applyBorder="1" applyAlignment="1" applyProtection="1">
      <alignment horizontal="center" vertical="center"/>
    </xf>
    <xf numFmtId="175" fontId="11" fillId="16" borderId="10" xfId="1" applyNumberFormat="1" applyFont="1" applyFill="1" applyBorder="1" applyAlignment="1" applyProtection="1">
      <alignment horizontal="center" vertical="center"/>
    </xf>
    <xf numFmtId="164" fontId="11" fillId="16" borderId="11" xfId="1" applyFont="1" applyFill="1" applyBorder="1" applyAlignment="1" applyProtection="1">
      <alignment horizontal="center" vertical="center"/>
    </xf>
    <xf numFmtId="175" fontId="11" fillId="16" borderId="11" xfId="1" applyNumberFormat="1" applyFont="1" applyFill="1" applyBorder="1" applyAlignment="1" applyProtection="1">
      <alignment horizontal="center" vertical="center"/>
    </xf>
    <xf numFmtId="175" fontId="11" fillId="18" borderId="88" xfId="1" applyNumberFormat="1" applyFont="1" applyFill="1" applyBorder="1" applyAlignment="1" applyProtection="1">
      <alignment horizontal="center"/>
      <protection locked="0"/>
    </xf>
    <xf numFmtId="175" fontId="11" fillId="18" borderId="9" xfId="1" applyNumberFormat="1" applyFont="1" applyFill="1" applyBorder="1" applyAlignment="1" applyProtection="1">
      <alignment horizontal="center"/>
      <protection locked="0"/>
    </xf>
    <xf numFmtId="175" fontId="11" fillId="18" borderId="16" xfId="1" applyNumberFormat="1" applyFont="1" applyFill="1" applyBorder="1" applyAlignment="1" applyProtection="1">
      <alignment horizontal="center" vertical="center"/>
      <protection locked="0"/>
    </xf>
    <xf numFmtId="175" fontId="11" fillId="18" borderId="3" xfId="1" applyNumberFormat="1" applyFont="1" applyFill="1" applyBorder="1" applyAlignment="1" applyProtection="1">
      <alignment horizontal="center"/>
      <protection locked="0"/>
    </xf>
    <xf numFmtId="175" fontId="11" fillId="18" borderId="2" xfId="1" applyNumberFormat="1" applyFont="1" applyFill="1" applyBorder="1" applyAlignment="1" applyProtection="1">
      <alignment horizontal="center"/>
      <protection locked="0"/>
    </xf>
    <xf numFmtId="175" fontId="11" fillId="18" borderId="18" xfId="1" applyNumberFormat="1" applyFont="1" applyFill="1" applyBorder="1" applyAlignment="1" applyProtection="1">
      <alignment horizontal="center" vertical="center"/>
      <protection locked="0"/>
    </xf>
    <xf numFmtId="175" fontId="22" fillId="16" borderId="3" xfId="1" applyNumberFormat="1" applyFont="1" applyFill="1" applyBorder="1" applyAlignment="1" applyProtection="1">
      <alignment horizontal="center" vertical="center"/>
    </xf>
    <xf numFmtId="175" fontId="22" fillId="16" borderId="2" xfId="1" applyNumberFormat="1" applyFont="1" applyFill="1" applyBorder="1" applyAlignment="1" applyProtection="1">
      <alignment horizontal="center" vertical="center"/>
    </xf>
    <xf numFmtId="175" fontId="22" fillId="16" borderId="18" xfId="1" applyNumberFormat="1" applyFont="1" applyFill="1" applyBorder="1" applyAlignment="1" applyProtection="1">
      <alignment horizontal="center" vertical="center"/>
    </xf>
    <xf numFmtId="175" fontId="22" fillId="16" borderId="89" xfId="1" applyNumberFormat="1" applyFont="1" applyFill="1" applyBorder="1" applyAlignment="1">
      <alignment horizontal="center" vertical="center"/>
    </xf>
    <xf numFmtId="175" fontId="22" fillId="16" borderId="7" xfId="1" applyNumberFormat="1" applyFont="1" applyFill="1" applyBorder="1" applyAlignment="1">
      <alignment horizontal="center" vertical="center"/>
    </xf>
    <xf numFmtId="175" fontId="22" fillId="16" borderId="20" xfId="1" applyNumberFormat="1" applyFont="1" applyFill="1" applyBorder="1" applyAlignment="1">
      <alignment horizontal="center" vertical="center"/>
    </xf>
    <xf numFmtId="175" fontId="14" fillId="16" borderId="89" xfId="1" applyNumberFormat="1" applyFont="1" applyFill="1" applyBorder="1" applyAlignment="1" applyProtection="1">
      <alignment horizontal="center" vertical="center"/>
    </xf>
    <xf numFmtId="175" fontId="14" fillId="16" borderId="7" xfId="1" applyNumberFormat="1" applyFont="1" applyFill="1" applyBorder="1" applyAlignment="1" applyProtection="1">
      <alignment horizontal="center" vertical="center"/>
    </xf>
    <xf numFmtId="175" fontId="14" fillId="16" borderId="20" xfId="1" applyNumberFormat="1" applyFont="1" applyFill="1" applyBorder="1" applyAlignment="1" applyProtection="1">
      <alignment horizontal="center" vertical="center"/>
    </xf>
    <xf numFmtId="175" fontId="22" fillId="16" borderId="89" xfId="1" applyNumberFormat="1" applyFont="1" applyFill="1" applyBorder="1" applyAlignment="1" applyProtection="1">
      <alignment horizontal="center" vertical="center"/>
    </xf>
    <xf numFmtId="175" fontId="22" fillId="16" borderId="7" xfId="1" applyNumberFormat="1" applyFont="1" applyFill="1" applyBorder="1" applyAlignment="1" applyProtection="1">
      <alignment horizontal="center" vertical="center"/>
    </xf>
    <xf numFmtId="175" fontId="22" fillId="16" borderId="20" xfId="1" applyNumberFormat="1" applyFont="1" applyFill="1" applyBorder="1" applyAlignment="1" applyProtection="1">
      <alignment horizontal="center" vertical="center"/>
    </xf>
    <xf numFmtId="0" fontId="20" fillId="2" borderId="10" xfId="0" applyFont="1" applyFill="1" applyBorder="1"/>
    <xf numFmtId="0" fontId="20" fillId="2" borderId="11" xfId="0" applyFont="1" applyFill="1" applyBorder="1"/>
    <xf numFmtId="0" fontId="20" fillId="2" borderId="12" xfId="0" applyFont="1" applyFill="1" applyBorder="1"/>
    <xf numFmtId="0" fontId="6" fillId="0" borderId="83" xfId="0" applyFont="1" applyBorder="1" applyAlignment="1">
      <alignment horizontal="left" vertical="center"/>
    </xf>
    <xf numFmtId="175" fontId="10" fillId="16" borderId="78" xfId="1" applyNumberFormat="1" applyFont="1" applyFill="1" applyBorder="1" applyAlignment="1">
      <alignment horizontal="center" vertical="center" wrapText="1"/>
    </xf>
    <xf numFmtId="175" fontId="10" fillId="16" borderId="6" xfId="1" applyNumberFormat="1" applyFont="1" applyFill="1" applyBorder="1" applyAlignment="1">
      <alignment horizontal="left" wrapText="1"/>
    </xf>
    <xf numFmtId="175" fontId="10" fillId="16" borderId="13" xfId="1" applyNumberFormat="1" applyFont="1" applyFill="1" applyBorder="1" applyAlignment="1">
      <alignment horizontal="center" wrapText="1"/>
    </xf>
    <xf numFmtId="175" fontId="10" fillId="16" borderId="8" xfId="1" applyNumberFormat="1" applyFont="1" applyFill="1" applyBorder="1" applyAlignment="1">
      <alignment horizontal="center" wrapText="1"/>
    </xf>
    <xf numFmtId="175" fontId="10" fillId="16" borderId="14" xfId="1" applyNumberFormat="1" applyFont="1" applyFill="1" applyBorder="1" applyAlignment="1">
      <alignment horizontal="center" wrapText="1"/>
    </xf>
    <xf numFmtId="0" fontId="7" fillId="2" borderId="83" xfId="0" applyFont="1" applyFill="1" applyBorder="1" applyAlignment="1">
      <alignment horizontal="left" vertical="center" wrapText="1"/>
    </xf>
    <xf numFmtId="0" fontId="8" fillId="2" borderId="76" xfId="0" applyFont="1" applyFill="1" applyBorder="1" applyAlignment="1">
      <alignment horizontal="center" wrapText="1"/>
    </xf>
    <xf numFmtId="0" fontId="8" fillId="2" borderId="77" xfId="0" applyFont="1" applyFill="1" applyBorder="1" applyAlignment="1">
      <alignment horizontal="center" wrapText="1"/>
    </xf>
    <xf numFmtId="0" fontId="8" fillId="2" borderId="78" xfId="0" applyFont="1" applyFill="1" applyBorder="1" applyAlignment="1">
      <alignment horizontal="center" wrapText="1"/>
    </xf>
    <xf numFmtId="175" fontId="11" fillId="18" borderId="116" xfId="1" applyNumberFormat="1" applyFont="1" applyFill="1" applyBorder="1" applyAlignment="1" applyProtection="1">
      <alignment horizontal="center"/>
      <protection locked="0"/>
    </xf>
    <xf numFmtId="175" fontId="6" fillId="19" borderId="18" xfId="1" applyNumberFormat="1" applyFont="1" applyFill="1" applyBorder="1" applyAlignment="1" applyProtection="1">
      <protection locked="0"/>
    </xf>
    <xf numFmtId="175" fontId="6" fillId="19" borderId="13" xfId="1" applyNumberFormat="1" applyFont="1" applyFill="1" applyBorder="1" applyAlignment="1" applyProtection="1">
      <protection locked="0"/>
    </xf>
    <xf numFmtId="175" fontId="6" fillId="19" borderId="8" xfId="1" applyNumberFormat="1" applyFont="1" applyFill="1" applyBorder="1" applyAlignment="1" applyProtection="1">
      <protection locked="0"/>
    </xf>
    <xf numFmtId="0" fontId="22" fillId="8" borderId="6" xfId="0" applyFont="1" applyFill="1" applyBorder="1" applyAlignment="1">
      <alignment horizontal="left" vertical="center"/>
    </xf>
    <xf numFmtId="3" fontId="22" fillId="8" borderId="39" xfId="0" applyNumberFormat="1" applyFont="1" applyFill="1" applyBorder="1" applyAlignment="1">
      <alignment horizontal="center" vertical="center"/>
    </xf>
    <xf numFmtId="3" fontId="22" fillId="8" borderId="40" xfId="0" applyNumberFormat="1" applyFont="1" applyFill="1" applyBorder="1" applyAlignment="1">
      <alignment horizontal="center" vertical="center"/>
    </xf>
    <xf numFmtId="3" fontId="22" fillId="8" borderId="41" xfId="0" applyNumberFormat="1" applyFont="1" applyFill="1" applyBorder="1" applyAlignment="1">
      <alignment horizontal="center" vertical="center"/>
    </xf>
    <xf numFmtId="175" fontId="10" fillId="8" borderId="15" xfId="1" applyNumberFormat="1" applyFont="1" applyFill="1" applyBorder="1"/>
    <xf numFmtId="175" fontId="10" fillId="8" borderId="88" xfId="1" applyNumberFormat="1" applyFont="1" applyFill="1" applyBorder="1"/>
    <xf numFmtId="175" fontId="10" fillId="8" borderId="3" xfId="1" applyNumberFormat="1" applyFont="1" applyFill="1" applyBorder="1"/>
    <xf numFmtId="175" fontId="10" fillId="8" borderId="19" xfId="1" applyNumberFormat="1" applyFont="1" applyFill="1" applyBorder="1"/>
    <xf numFmtId="175" fontId="10" fillId="8" borderId="89" xfId="1" applyNumberFormat="1" applyFont="1" applyFill="1" applyBorder="1"/>
    <xf numFmtId="175" fontId="10" fillId="8" borderId="16" xfId="1" applyNumberFormat="1" applyFont="1" applyFill="1" applyBorder="1"/>
    <xf numFmtId="175" fontId="10" fillId="8" borderId="20" xfId="1" applyNumberFormat="1" applyFont="1" applyFill="1" applyBorder="1"/>
    <xf numFmtId="175" fontId="8" fillId="22" borderId="71" xfId="1" applyNumberFormat="1" applyFont="1" applyFill="1" applyBorder="1"/>
    <xf numFmtId="175" fontId="8" fillId="22" borderId="3" xfId="1" applyNumberFormat="1" applyFont="1" applyFill="1" applyBorder="1"/>
    <xf numFmtId="175" fontId="8" fillId="22" borderId="72" xfId="1" applyNumberFormat="1" applyFont="1" applyFill="1" applyBorder="1"/>
    <xf numFmtId="0" fontId="8" fillId="22" borderId="71" xfId="0" applyFont="1" applyFill="1" applyBorder="1"/>
    <xf numFmtId="0" fontId="8" fillId="22" borderId="72" xfId="0" applyFont="1" applyFill="1" applyBorder="1"/>
    <xf numFmtId="175" fontId="10" fillId="8" borderId="59" xfId="1" applyNumberFormat="1" applyFont="1" applyFill="1" applyBorder="1"/>
    <xf numFmtId="175" fontId="10" fillId="8" borderId="61" xfId="1" applyNumberFormat="1" applyFont="1" applyFill="1" applyBorder="1"/>
    <xf numFmtId="175" fontId="10" fillId="8" borderId="64" xfId="1" applyNumberFormat="1" applyFont="1" applyFill="1" applyBorder="1"/>
    <xf numFmtId="3" fontId="10" fillId="8" borderId="31" xfId="0" applyNumberFormat="1" applyFont="1" applyFill="1" applyBorder="1" applyAlignment="1">
      <alignment horizontal="right" vertical="center" indent="1"/>
    </xf>
    <xf numFmtId="3" fontId="10" fillId="8" borderId="32" xfId="0" applyNumberFormat="1" applyFont="1" applyFill="1" applyBorder="1" applyAlignment="1">
      <alignment horizontal="right" vertical="center" indent="1"/>
    </xf>
    <xf numFmtId="3" fontId="10" fillId="8" borderId="33" xfId="0" applyNumberFormat="1" applyFont="1" applyFill="1" applyBorder="1" applyAlignment="1">
      <alignment horizontal="right" vertical="center" indent="1"/>
    </xf>
    <xf numFmtId="3" fontId="8" fillId="20" borderId="34" xfId="0" applyNumberFormat="1" applyFont="1" applyFill="1" applyBorder="1" applyAlignment="1">
      <alignment horizontal="right" vertical="center" indent="1"/>
    </xf>
    <xf numFmtId="3" fontId="8" fillId="20" borderId="24" xfId="0" applyNumberFormat="1" applyFont="1" applyFill="1" applyBorder="1" applyAlignment="1">
      <alignment horizontal="right" vertical="center" indent="1"/>
    </xf>
    <xf numFmtId="3" fontId="8" fillId="20" borderId="35" xfId="0" applyNumberFormat="1" applyFont="1" applyFill="1" applyBorder="1" applyAlignment="1">
      <alignment horizontal="right" vertical="center" indent="1"/>
    </xf>
    <xf numFmtId="3" fontId="8" fillId="20" borderId="36" xfId="0" applyNumberFormat="1" applyFont="1" applyFill="1" applyBorder="1" applyAlignment="1">
      <alignment horizontal="right" vertical="center" indent="1"/>
    </xf>
    <xf numFmtId="3" fontId="8" fillId="20" borderId="37" xfId="0" applyNumberFormat="1" applyFont="1" applyFill="1" applyBorder="1" applyAlignment="1">
      <alignment horizontal="right" vertical="center" indent="1"/>
    </xf>
    <xf numFmtId="3" fontId="8" fillId="20" borderId="38" xfId="0" applyNumberFormat="1" applyFont="1" applyFill="1" applyBorder="1" applyAlignment="1">
      <alignment horizontal="right" vertical="center" indent="1"/>
    </xf>
    <xf numFmtId="3" fontId="8" fillId="20" borderId="34" xfId="0" applyNumberFormat="1" applyFont="1" applyFill="1" applyBorder="1" applyAlignment="1">
      <alignment horizontal="center" vertical="center"/>
    </xf>
    <xf numFmtId="3" fontId="8" fillId="20" borderId="24" xfId="0" applyNumberFormat="1" applyFont="1" applyFill="1" applyBorder="1" applyAlignment="1">
      <alignment horizontal="center" vertical="center"/>
    </xf>
    <xf numFmtId="3" fontId="8" fillId="20" borderId="35" xfId="0" applyNumberFormat="1" applyFont="1" applyFill="1" applyBorder="1" applyAlignment="1">
      <alignment horizontal="center" vertical="center"/>
    </xf>
    <xf numFmtId="3" fontId="8" fillId="20" borderId="36" xfId="0" applyNumberFormat="1" applyFont="1" applyFill="1" applyBorder="1" applyAlignment="1">
      <alignment horizontal="center" vertical="center"/>
    </xf>
    <xf numFmtId="3" fontId="8" fillId="20" borderId="37" xfId="0" applyNumberFormat="1" applyFont="1" applyFill="1" applyBorder="1" applyAlignment="1">
      <alignment horizontal="center" vertical="center"/>
    </xf>
    <xf numFmtId="3" fontId="8" fillId="20" borderId="38" xfId="0" applyNumberFormat="1" applyFont="1" applyFill="1" applyBorder="1" applyAlignment="1">
      <alignment horizontal="center" vertical="center"/>
    </xf>
    <xf numFmtId="3" fontId="26" fillId="20" borderId="34" xfId="0" applyNumberFormat="1" applyFont="1" applyFill="1" applyBorder="1" applyAlignment="1">
      <alignment horizontal="center" vertical="center"/>
    </xf>
    <xf numFmtId="3" fontId="26" fillId="20" borderId="24" xfId="0" applyNumberFormat="1" applyFont="1" applyFill="1" applyBorder="1" applyAlignment="1">
      <alignment horizontal="center" vertical="center"/>
    </xf>
    <xf numFmtId="3" fontId="26" fillId="20" borderId="35" xfId="0" applyNumberFormat="1" applyFont="1" applyFill="1" applyBorder="1" applyAlignment="1">
      <alignment horizontal="center" vertical="center"/>
    </xf>
    <xf numFmtId="3" fontId="15" fillId="20" borderId="36" xfId="0" applyNumberFormat="1" applyFont="1" applyFill="1" applyBorder="1" applyAlignment="1">
      <alignment horizontal="center" vertical="center"/>
    </xf>
    <xf numFmtId="3" fontId="15" fillId="20" borderId="37" xfId="0" applyNumberFormat="1" applyFont="1" applyFill="1" applyBorder="1" applyAlignment="1">
      <alignment horizontal="center" vertical="center"/>
    </xf>
    <xf numFmtId="3" fontId="15" fillId="20" borderId="38" xfId="0" applyNumberFormat="1" applyFont="1" applyFill="1" applyBorder="1" applyAlignment="1">
      <alignment horizontal="center" vertical="center"/>
    </xf>
    <xf numFmtId="3" fontId="8" fillId="16" borderId="31" xfId="0" applyNumberFormat="1" applyFont="1" applyFill="1" applyBorder="1" applyAlignment="1">
      <alignment horizontal="right" vertical="center" indent="1"/>
    </xf>
    <xf numFmtId="3" fontId="8" fillId="16" borderId="32" xfId="0" applyNumberFormat="1" applyFont="1" applyFill="1" applyBorder="1" applyAlignment="1">
      <alignment horizontal="right" vertical="center" indent="1"/>
    </xf>
    <xf numFmtId="3" fontId="8" fillId="16" borderId="33" xfId="0" applyNumberFormat="1" applyFont="1" applyFill="1" applyBorder="1" applyAlignment="1">
      <alignment horizontal="right" vertical="center" indent="1"/>
    </xf>
    <xf numFmtId="3" fontId="8" fillId="16" borderId="34" xfId="0" applyNumberFormat="1" applyFont="1" applyFill="1" applyBorder="1" applyAlignment="1">
      <alignment horizontal="right" vertical="center" indent="1"/>
    </xf>
    <xf numFmtId="3" fontId="8" fillId="16" borderId="24" xfId="0" applyNumberFormat="1" applyFont="1" applyFill="1" applyBorder="1" applyAlignment="1">
      <alignment horizontal="right" vertical="center" indent="1"/>
    </xf>
    <xf numFmtId="3" fontId="8" fillId="16" borderId="35" xfId="0" applyNumberFormat="1" applyFont="1" applyFill="1" applyBorder="1" applyAlignment="1">
      <alignment horizontal="right" vertical="center" indent="1"/>
    </xf>
    <xf numFmtId="3" fontId="8" fillId="16" borderId="68" xfId="0" applyNumberFormat="1" applyFont="1" applyFill="1" applyBorder="1" applyAlignment="1">
      <alignment horizontal="right" vertical="center" indent="1"/>
    </xf>
    <xf numFmtId="3" fontId="10" fillId="16" borderId="34" xfId="0" applyNumberFormat="1" applyFont="1" applyFill="1" applyBorder="1" applyAlignment="1">
      <alignment horizontal="right" vertical="center" indent="1"/>
    </xf>
    <xf numFmtId="3" fontId="10" fillId="16" borderId="24" xfId="0" applyNumberFormat="1" applyFont="1" applyFill="1" applyBorder="1" applyAlignment="1">
      <alignment horizontal="right" vertical="center" indent="1"/>
    </xf>
    <xf numFmtId="3" fontId="10" fillId="16" borderId="35" xfId="0" applyNumberFormat="1" applyFont="1" applyFill="1" applyBorder="1" applyAlignment="1">
      <alignment horizontal="right" vertical="center" indent="1"/>
    </xf>
    <xf numFmtId="3" fontId="10" fillId="16" borderId="69" xfId="0" applyNumberFormat="1" applyFont="1" applyFill="1" applyBorder="1" applyAlignment="1">
      <alignment horizontal="right" vertical="center" indent="1"/>
    </xf>
    <xf numFmtId="3" fontId="10" fillId="16" borderId="25" xfId="0" applyNumberFormat="1" applyFont="1" applyFill="1" applyBorder="1" applyAlignment="1">
      <alignment horizontal="right" vertical="center" indent="1"/>
    </xf>
    <xf numFmtId="3" fontId="10" fillId="16" borderId="70" xfId="0" applyNumberFormat="1" applyFont="1" applyFill="1" applyBorder="1" applyAlignment="1">
      <alignment horizontal="right" vertical="center" indent="1"/>
    </xf>
    <xf numFmtId="3" fontId="10" fillId="16" borderId="39" xfId="0" applyNumberFormat="1" applyFont="1" applyFill="1" applyBorder="1" applyAlignment="1">
      <alignment horizontal="right" vertical="center" indent="1"/>
    </xf>
    <xf numFmtId="3" fontId="10" fillId="16" borderId="40" xfId="0" applyNumberFormat="1" applyFont="1" applyFill="1" applyBorder="1" applyAlignment="1">
      <alignment horizontal="right" vertical="center" indent="1"/>
    </xf>
    <xf numFmtId="3" fontId="10" fillId="16" borderId="41" xfId="0" applyNumberFormat="1" applyFont="1" applyFill="1" applyBorder="1" applyAlignment="1">
      <alignment horizontal="right" vertical="center" indent="1"/>
    </xf>
    <xf numFmtId="3" fontId="10" fillId="8" borderId="117" xfId="0" applyNumberFormat="1" applyFont="1" applyFill="1" applyBorder="1" applyAlignment="1">
      <alignment horizontal="right" vertical="center" indent="1"/>
    </xf>
    <xf numFmtId="3" fontId="10" fillId="8" borderId="118" xfId="0" applyNumberFormat="1" applyFont="1" applyFill="1" applyBorder="1" applyAlignment="1">
      <alignment horizontal="right" vertical="center" indent="1"/>
    </xf>
    <xf numFmtId="3" fontId="10" fillId="8" borderId="119" xfId="0" applyNumberFormat="1" applyFont="1" applyFill="1" applyBorder="1" applyAlignment="1">
      <alignment horizontal="right" vertical="center" indent="1"/>
    </xf>
    <xf numFmtId="3" fontId="8" fillId="20" borderId="120" xfId="0" applyNumberFormat="1" applyFont="1" applyFill="1" applyBorder="1" applyAlignment="1">
      <alignment horizontal="right" vertical="center" indent="1"/>
    </xf>
    <xf numFmtId="3" fontId="8" fillId="20" borderId="121" xfId="0" applyNumberFormat="1" applyFont="1" applyFill="1" applyBorder="1" applyAlignment="1">
      <alignment horizontal="right" vertical="center" indent="1"/>
    </xf>
    <xf numFmtId="3" fontId="8" fillId="20" borderId="122" xfId="0" applyNumberFormat="1" applyFont="1" applyFill="1" applyBorder="1" applyAlignment="1">
      <alignment horizontal="right" vertical="center" indent="1"/>
    </xf>
    <xf numFmtId="3" fontId="8" fillId="20" borderId="123" xfId="0" applyNumberFormat="1" applyFont="1" applyFill="1" applyBorder="1" applyAlignment="1">
      <alignment horizontal="right" vertical="center" indent="1"/>
    </xf>
    <xf numFmtId="3" fontId="8" fillId="20" borderId="124" xfId="0" applyNumberFormat="1" applyFont="1" applyFill="1" applyBorder="1" applyAlignment="1">
      <alignment horizontal="right" vertical="center" indent="1"/>
    </xf>
    <xf numFmtId="44" fontId="9" fillId="2" borderId="0" xfId="7" applyFont="1" applyFill="1" applyBorder="1"/>
    <xf numFmtId="38" fontId="8" fillId="2" borderId="0" xfId="0" applyNumberFormat="1" applyFont="1" applyFill="1"/>
    <xf numFmtId="0" fontId="8" fillId="2" borderId="104" xfId="0" applyFont="1" applyFill="1" applyBorder="1"/>
    <xf numFmtId="175" fontId="8" fillId="20" borderId="57" xfId="1" applyNumberFormat="1" applyFont="1" applyFill="1" applyBorder="1"/>
    <xf numFmtId="175" fontId="8" fillId="20" borderId="60" xfId="1" applyNumberFormat="1" applyFont="1" applyFill="1" applyBorder="1"/>
    <xf numFmtId="175" fontId="8" fillId="20" borderId="62" xfId="1" applyNumberFormat="1" applyFont="1" applyFill="1" applyBorder="1"/>
    <xf numFmtId="0" fontId="8" fillId="20" borderId="57" xfId="0" applyFont="1" applyFill="1" applyBorder="1"/>
    <xf numFmtId="0" fontId="8" fillId="20" borderId="62" xfId="0" applyFont="1" applyFill="1" applyBorder="1"/>
    <xf numFmtId="175" fontId="8" fillId="20" borderId="9" xfId="1" applyNumberFormat="1" applyFont="1" applyFill="1" applyBorder="1"/>
    <xf numFmtId="175" fontId="8" fillId="20" borderId="4" xfId="1" applyNumberFormat="1" applyFont="1" applyFill="1" applyBorder="1"/>
    <xf numFmtId="175" fontId="8" fillId="20" borderId="7" xfId="1" applyNumberFormat="1" applyFont="1" applyFill="1" applyBorder="1"/>
    <xf numFmtId="175" fontId="8" fillId="20" borderId="58" xfId="1" applyNumberFormat="1" applyFont="1" applyFill="1" applyBorder="1" applyAlignment="1">
      <alignment horizontal="left"/>
    </xf>
    <xf numFmtId="175" fontId="8" fillId="20" borderId="63" xfId="1" applyNumberFormat="1" applyFont="1" applyFill="1" applyBorder="1"/>
    <xf numFmtId="175" fontId="8" fillId="20" borderId="15" xfId="1" applyNumberFormat="1" applyFont="1" applyFill="1" applyBorder="1"/>
    <xf numFmtId="175" fontId="8" fillId="20" borderId="16" xfId="1" applyNumberFormat="1" applyFont="1" applyFill="1" applyBorder="1"/>
    <xf numFmtId="175" fontId="8" fillId="20" borderId="90" xfId="1" applyNumberFormat="1" applyFont="1" applyFill="1" applyBorder="1"/>
    <xf numFmtId="175" fontId="8" fillId="20" borderId="91" xfId="1" applyNumberFormat="1" applyFont="1" applyFill="1" applyBorder="1"/>
    <xf numFmtId="175" fontId="8" fillId="16" borderId="15" xfId="1" applyNumberFormat="1" applyFont="1" applyFill="1" applyBorder="1" applyAlignment="1">
      <alignment horizontal="center"/>
    </xf>
    <xf numFmtId="175" fontId="8" fillId="16" borderId="9" xfId="1" applyNumberFormat="1" applyFont="1" applyFill="1" applyBorder="1" applyAlignment="1">
      <alignment horizontal="center"/>
    </xf>
    <xf numFmtId="175" fontId="8" fillId="16" borderId="16" xfId="1" applyNumberFormat="1" applyFont="1" applyFill="1" applyBorder="1" applyAlignment="1">
      <alignment horizontal="center"/>
    </xf>
    <xf numFmtId="175" fontId="8" fillId="16" borderId="17" xfId="1" applyNumberFormat="1" applyFont="1" applyFill="1" applyBorder="1" applyAlignment="1">
      <alignment horizontal="center"/>
    </xf>
    <xf numFmtId="175" fontId="8" fillId="16" borderId="2" xfId="1" applyNumberFormat="1" applyFont="1" applyFill="1" applyBorder="1" applyAlignment="1">
      <alignment horizontal="center"/>
    </xf>
    <xf numFmtId="175" fontId="8" fillId="16" borderId="18" xfId="1" applyNumberFormat="1" applyFont="1" applyFill="1" applyBorder="1" applyAlignment="1">
      <alignment horizontal="center"/>
    </xf>
    <xf numFmtId="175" fontId="8" fillId="16" borderId="19" xfId="1" applyNumberFormat="1" applyFont="1" applyFill="1" applyBorder="1" applyAlignment="1">
      <alignment horizontal="center"/>
    </xf>
    <xf numFmtId="175" fontId="8" fillId="16" borderId="7" xfId="1" applyNumberFormat="1" applyFont="1" applyFill="1" applyBorder="1" applyAlignment="1">
      <alignment horizontal="center"/>
    </xf>
    <xf numFmtId="175" fontId="8" fillId="16" borderId="20" xfId="1" applyNumberFormat="1" applyFont="1" applyFill="1" applyBorder="1" applyAlignment="1">
      <alignment horizontal="center"/>
    </xf>
    <xf numFmtId="0" fontId="10" fillId="16" borderId="6" xfId="0" applyFont="1" applyFill="1" applyBorder="1"/>
    <xf numFmtId="169" fontId="8" fillId="16" borderId="2" xfId="1" applyNumberFormat="1" applyFont="1" applyFill="1" applyBorder="1" applyAlignment="1">
      <alignment horizontal="center"/>
    </xf>
    <xf numFmtId="169" fontId="8" fillId="16" borderId="18" xfId="1" applyNumberFormat="1" applyFont="1" applyFill="1" applyBorder="1" applyAlignment="1">
      <alignment horizontal="center"/>
    </xf>
    <xf numFmtId="9" fontId="8" fillId="20" borderId="15" xfId="2" applyFont="1" applyFill="1" applyBorder="1" applyAlignment="1">
      <alignment horizontal="center"/>
    </xf>
    <xf numFmtId="9" fontId="8" fillId="20" borderId="9" xfId="2" applyFont="1" applyFill="1" applyBorder="1" applyAlignment="1">
      <alignment horizontal="center"/>
    </xf>
    <xf numFmtId="9" fontId="8" fillId="20" borderId="16" xfId="2" applyFont="1" applyFill="1" applyBorder="1" applyAlignment="1">
      <alignment horizontal="center"/>
    </xf>
    <xf numFmtId="169" fontId="8" fillId="20" borderId="17" xfId="1" applyNumberFormat="1" applyFont="1" applyFill="1" applyBorder="1" applyAlignment="1">
      <alignment horizontal="center"/>
    </xf>
    <xf numFmtId="169" fontId="8" fillId="20" borderId="2" xfId="1" applyNumberFormat="1" applyFont="1" applyFill="1" applyBorder="1" applyAlignment="1">
      <alignment horizontal="center"/>
    </xf>
    <xf numFmtId="169" fontId="8" fillId="20" borderId="18" xfId="1" applyNumberFormat="1" applyFont="1" applyFill="1" applyBorder="1" applyAlignment="1">
      <alignment horizontal="center"/>
    </xf>
    <xf numFmtId="169" fontId="8" fillId="20" borderId="19" xfId="1" applyNumberFormat="1" applyFont="1" applyFill="1" applyBorder="1" applyAlignment="1">
      <alignment horizontal="center"/>
    </xf>
    <xf numFmtId="169" fontId="8" fillId="20" borderId="7" xfId="1" applyNumberFormat="1" applyFont="1" applyFill="1" applyBorder="1" applyAlignment="1">
      <alignment horizontal="center"/>
    </xf>
    <xf numFmtId="169" fontId="8" fillId="20" borderId="20" xfId="1" applyNumberFormat="1" applyFont="1" applyFill="1" applyBorder="1" applyAlignment="1">
      <alignment horizontal="center"/>
    </xf>
    <xf numFmtId="169" fontId="8" fillId="20" borderId="15" xfId="1" applyNumberFormat="1" applyFont="1" applyFill="1" applyBorder="1" applyAlignment="1">
      <alignment horizontal="center"/>
    </xf>
    <xf numFmtId="169" fontId="8" fillId="20" borderId="9" xfId="1" applyNumberFormat="1" applyFont="1" applyFill="1" applyBorder="1" applyAlignment="1">
      <alignment horizontal="center"/>
    </xf>
    <xf numFmtId="169" fontId="8" fillId="20" borderId="16" xfId="1" applyNumberFormat="1" applyFont="1" applyFill="1" applyBorder="1" applyAlignment="1">
      <alignment horizontal="center"/>
    </xf>
    <xf numFmtId="175" fontId="8" fillId="16" borderId="15" xfId="1" applyNumberFormat="1" applyFont="1" applyFill="1" applyBorder="1"/>
    <xf numFmtId="175" fontId="8" fillId="16" borderId="9" xfId="1" applyNumberFormat="1" applyFont="1" applyFill="1" applyBorder="1"/>
    <xf numFmtId="175" fontId="8" fillId="16" borderId="16" xfId="1" applyNumberFormat="1" applyFont="1" applyFill="1" applyBorder="1"/>
    <xf numFmtId="175" fontId="8" fillId="16" borderId="17" xfId="1" applyNumberFormat="1" applyFont="1" applyFill="1" applyBorder="1"/>
    <xf numFmtId="175" fontId="8" fillId="16" borderId="2" xfId="1" applyNumberFormat="1" applyFont="1" applyFill="1" applyBorder="1"/>
    <xf numFmtId="175" fontId="8" fillId="16" borderId="18" xfId="1" applyNumberFormat="1" applyFont="1" applyFill="1" applyBorder="1"/>
    <xf numFmtId="175" fontId="8" fillId="16" borderId="4" xfId="1" applyNumberFormat="1" applyFont="1" applyFill="1" applyBorder="1"/>
    <xf numFmtId="175" fontId="8" fillId="16" borderId="91" xfId="1" applyNumberFormat="1" applyFont="1" applyFill="1" applyBorder="1"/>
    <xf numFmtId="175" fontId="8" fillId="16" borderId="90" xfId="1" applyNumberFormat="1" applyFont="1" applyFill="1" applyBorder="1"/>
    <xf numFmtId="175" fontId="10" fillId="16" borderId="13" xfId="1" applyNumberFormat="1" applyFont="1" applyFill="1" applyBorder="1" applyAlignment="1">
      <alignment horizontal="center"/>
    </xf>
    <xf numFmtId="175" fontId="10" fillId="16" borderId="8" xfId="1" applyNumberFormat="1" applyFont="1" applyFill="1" applyBorder="1" applyAlignment="1">
      <alignment horizontal="center"/>
    </xf>
    <xf numFmtId="175" fontId="10" fillId="16" borderId="14" xfId="1" applyNumberFormat="1" applyFont="1" applyFill="1" applyBorder="1" applyAlignment="1">
      <alignment horizontal="center"/>
    </xf>
    <xf numFmtId="0" fontId="11" fillId="20" borderId="96" xfId="0" applyFont="1" applyFill="1" applyBorder="1" applyAlignment="1">
      <alignment horizontal="center"/>
    </xf>
    <xf numFmtId="0" fontId="11" fillId="20" borderId="112" xfId="0" applyFont="1" applyFill="1" applyBorder="1" applyAlignment="1">
      <alignment horizontal="center"/>
    </xf>
    <xf numFmtId="0" fontId="11" fillId="20" borderId="97" xfId="0" applyFont="1" applyFill="1" applyBorder="1" applyAlignment="1">
      <alignment horizontal="center"/>
    </xf>
    <xf numFmtId="172" fontId="11" fillId="20" borderId="98" xfId="0" applyNumberFormat="1" applyFont="1" applyFill="1" applyBorder="1" applyAlignment="1" applyProtection="1">
      <alignment horizontal="center"/>
      <protection locked="0"/>
    </xf>
    <xf numFmtId="172" fontId="11" fillId="20" borderId="1" xfId="0" applyNumberFormat="1" applyFont="1" applyFill="1" applyBorder="1" applyAlignment="1" applyProtection="1">
      <alignment horizontal="center"/>
      <protection locked="0"/>
    </xf>
    <xf numFmtId="172" fontId="11" fillId="20" borderId="99" xfId="0" applyNumberFormat="1" applyFont="1" applyFill="1" applyBorder="1" applyAlignment="1" applyProtection="1">
      <alignment horizontal="center"/>
      <protection locked="0"/>
    </xf>
    <xf numFmtId="173" fontId="11" fillId="20" borderId="98" xfId="0" applyNumberFormat="1" applyFont="1" applyFill="1" applyBorder="1" applyAlignment="1" applyProtection="1">
      <alignment horizontal="center"/>
      <protection locked="0"/>
    </xf>
    <xf numFmtId="173" fontId="11" fillId="20" borderId="1" xfId="0" applyNumberFormat="1" applyFont="1" applyFill="1" applyBorder="1" applyAlignment="1" applyProtection="1">
      <alignment horizontal="center"/>
      <protection locked="0"/>
    </xf>
    <xf numFmtId="173" fontId="11" fillId="20" borderId="99" xfId="0" applyNumberFormat="1" applyFont="1" applyFill="1" applyBorder="1" applyAlignment="1" applyProtection="1">
      <alignment horizontal="center"/>
      <protection locked="0"/>
    </xf>
    <xf numFmtId="10" fontId="11" fillId="20" borderId="98" xfId="0" applyNumberFormat="1" applyFont="1" applyFill="1" applyBorder="1" applyAlignment="1" applyProtection="1">
      <alignment horizontal="center"/>
      <protection locked="0"/>
    </xf>
    <xf numFmtId="10" fontId="11" fillId="20" borderId="1" xfId="0" applyNumberFormat="1" applyFont="1" applyFill="1" applyBorder="1" applyAlignment="1" applyProtection="1">
      <alignment horizontal="center"/>
      <protection locked="0"/>
    </xf>
    <xf numFmtId="10" fontId="11" fillId="20" borderId="99" xfId="0" applyNumberFormat="1" applyFont="1" applyFill="1" applyBorder="1" applyAlignment="1" applyProtection="1">
      <alignment horizontal="center"/>
      <protection locked="0"/>
    </xf>
    <xf numFmtId="0" fontId="11" fillId="20" borderId="98" xfId="0" applyFont="1" applyFill="1" applyBorder="1" applyAlignment="1" applyProtection="1">
      <alignment horizontal="center"/>
      <protection locked="0"/>
    </xf>
    <xf numFmtId="0" fontId="11" fillId="20" borderId="1" xfId="0" applyFont="1" applyFill="1" applyBorder="1" applyAlignment="1" applyProtection="1">
      <alignment horizontal="center"/>
      <protection locked="0"/>
    </xf>
    <xf numFmtId="0" fontId="11" fillId="20" borderId="99" xfId="0" applyFont="1" applyFill="1" applyBorder="1" applyAlignment="1" applyProtection="1">
      <alignment horizontal="center"/>
      <protection locked="0"/>
    </xf>
    <xf numFmtId="172" fontId="11" fillId="20" borderId="100" xfId="0" applyNumberFormat="1" applyFont="1" applyFill="1" applyBorder="1" applyAlignment="1" applyProtection="1">
      <alignment horizontal="center"/>
      <protection locked="0"/>
    </xf>
    <xf numFmtId="172" fontId="11" fillId="20" borderId="113" xfId="0" applyNumberFormat="1" applyFont="1" applyFill="1" applyBorder="1" applyAlignment="1" applyProtection="1">
      <alignment horizontal="center"/>
      <protection locked="0"/>
    </xf>
    <xf numFmtId="172" fontId="11" fillId="20" borderId="101" xfId="0" applyNumberFormat="1" applyFont="1" applyFill="1" applyBorder="1" applyAlignment="1" applyProtection="1">
      <alignment horizontal="center"/>
      <protection locked="0"/>
    </xf>
    <xf numFmtId="175" fontId="8" fillId="16" borderId="19" xfId="1" applyNumberFormat="1" applyFont="1" applyFill="1" applyBorder="1"/>
    <xf numFmtId="175" fontId="8" fillId="16" borderId="7" xfId="1" applyNumberFormat="1" applyFont="1" applyFill="1" applyBorder="1"/>
    <xf numFmtId="175" fontId="8" fillId="16" borderId="20" xfId="1" applyNumberFormat="1" applyFont="1" applyFill="1" applyBorder="1"/>
    <xf numFmtId="175" fontId="10" fillId="16" borderId="13" xfId="1" applyNumberFormat="1" applyFont="1" applyFill="1" applyBorder="1" applyAlignment="1">
      <alignment vertical="center"/>
    </xf>
    <xf numFmtId="175" fontId="10" fillId="16" borderId="8" xfId="1" applyNumberFormat="1" applyFont="1" applyFill="1" applyBorder="1" applyAlignment="1">
      <alignment vertical="center"/>
    </xf>
    <xf numFmtId="175" fontId="10" fillId="16" borderId="14" xfId="1" applyNumberFormat="1" applyFont="1" applyFill="1" applyBorder="1" applyAlignment="1">
      <alignment vertical="center"/>
    </xf>
    <xf numFmtId="0" fontId="8" fillId="20" borderId="10" xfId="0" applyFont="1" applyFill="1" applyBorder="1" applyAlignment="1">
      <alignment horizontal="center"/>
    </xf>
    <xf numFmtId="0" fontId="8" fillId="20" borderId="11" xfId="0" applyFont="1" applyFill="1" applyBorder="1" applyAlignment="1">
      <alignment horizontal="center"/>
    </xf>
    <xf numFmtId="0" fontId="8" fillId="20" borderId="12" xfId="0" applyFont="1" applyFill="1" applyBorder="1" applyAlignment="1">
      <alignment horizontal="center"/>
    </xf>
    <xf numFmtId="175" fontId="11" fillId="12" borderId="15" xfId="1" applyNumberFormat="1" applyFont="1" applyFill="1" applyBorder="1"/>
    <xf numFmtId="175" fontId="11" fillId="12" borderId="9" xfId="1" applyNumberFormat="1" applyFont="1" applyFill="1" applyBorder="1"/>
    <xf numFmtId="175" fontId="11" fillId="12" borderId="16" xfId="1" applyNumberFormat="1" applyFont="1" applyFill="1" applyBorder="1"/>
    <xf numFmtId="175" fontId="11" fillId="23" borderId="17" xfId="1" applyNumberFormat="1" applyFont="1" applyFill="1" applyBorder="1" applyAlignment="1">
      <alignment horizontal="center" vertical="center"/>
    </xf>
    <xf numFmtId="175" fontId="11" fillId="23" borderId="2" xfId="1" applyNumberFormat="1" applyFont="1" applyFill="1" applyBorder="1" applyAlignment="1">
      <alignment horizontal="center" vertical="center"/>
    </xf>
    <xf numFmtId="175" fontId="11" fillId="23" borderId="18" xfId="1" applyNumberFormat="1" applyFont="1" applyFill="1" applyBorder="1" applyAlignment="1">
      <alignment horizontal="center" vertical="center"/>
    </xf>
    <xf numFmtId="175" fontId="11" fillId="23" borderId="90" xfId="1" applyNumberFormat="1" applyFont="1" applyFill="1" applyBorder="1" applyAlignment="1">
      <alignment horizontal="center" vertical="center"/>
    </xf>
    <xf numFmtId="175" fontId="11" fillId="23" borderId="4" xfId="1" applyNumberFormat="1" applyFont="1" applyFill="1" applyBorder="1" applyAlignment="1">
      <alignment horizontal="center" vertical="center"/>
    </xf>
    <xf numFmtId="175" fontId="11" fillId="23" borderId="91" xfId="1" applyNumberFormat="1" applyFont="1" applyFill="1" applyBorder="1" applyAlignment="1">
      <alignment horizontal="center" vertical="center"/>
    </xf>
    <xf numFmtId="175" fontId="11" fillId="12" borderId="90" xfId="1" applyNumberFormat="1" applyFont="1" applyFill="1" applyBorder="1" applyAlignment="1"/>
    <xf numFmtId="175" fontId="11" fillId="12" borderId="4" xfId="1" applyNumberFormat="1" applyFont="1" applyFill="1" applyBorder="1" applyAlignment="1"/>
    <xf numFmtId="175" fontId="11" fillId="12" borderId="91" xfId="1" applyNumberFormat="1" applyFont="1" applyFill="1" applyBorder="1" applyAlignment="1"/>
    <xf numFmtId="169" fontId="11" fillId="21" borderId="15" xfId="1" applyNumberFormat="1" applyFont="1" applyFill="1" applyBorder="1" applyAlignment="1" applyProtection="1">
      <alignment horizontal="right" vertical="center"/>
    </xf>
    <xf numFmtId="169" fontId="11" fillId="21" borderId="9" xfId="1" applyNumberFormat="1" applyFont="1" applyFill="1" applyBorder="1" applyAlignment="1" applyProtection="1">
      <alignment horizontal="right"/>
      <protection locked="0"/>
    </xf>
    <xf numFmtId="169" fontId="11" fillId="21" borderId="16" xfId="1" applyNumberFormat="1" applyFont="1" applyFill="1" applyBorder="1" applyAlignment="1" applyProtection="1">
      <alignment horizontal="right"/>
      <protection locked="0"/>
    </xf>
    <xf numFmtId="169" fontId="11" fillId="21" borderId="17" xfId="1" applyNumberFormat="1" applyFont="1" applyFill="1" applyBorder="1" applyAlignment="1" applyProtection="1">
      <alignment horizontal="right" vertical="center"/>
    </xf>
    <xf numFmtId="169" fontId="11" fillId="21" borderId="2" xfId="1" applyNumberFormat="1" applyFont="1" applyFill="1" applyBorder="1" applyAlignment="1" applyProtection="1">
      <alignment horizontal="right"/>
      <protection locked="0"/>
    </xf>
    <xf numFmtId="169" fontId="11" fillId="21" borderId="18" xfId="1" applyNumberFormat="1" applyFont="1" applyFill="1" applyBorder="1" applyAlignment="1" applyProtection="1">
      <alignment horizontal="right"/>
      <protection locked="0"/>
    </xf>
    <xf numFmtId="175" fontId="11" fillId="12" borderId="17" xfId="1" applyNumberFormat="1" applyFont="1" applyFill="1" applyBorder="1" applyAlignment="1"/>
    <xf numFmtId="175" fontId="11" fillId="12" borderId="2" xfId="1" applyNumberFormat="1" applyFont="1" applyFill="1" applyBorder="1" applyAlignment="1"/>
    <xf numFmtId="175" fontId="11" fillId="12" borderId="18" xfId="1" applyNumberFormat="1" applyFont="1" applyFill="1" applyBorder="1" applyAlignment="1"/>
    <xf numFmtId="0" fontId="22" fillId="12" borderId="17" xfId="0" applyFont="1" applyFill="1" applyBorder="1" applyAlignment="1">
      <alignment horizontal="center"/>
    </xf>
    <xf numFmtId="0" fontId="22" fillId="12" borderId="2" xfId="0" applyFont="1" applyFill="1" applyBorder="1" applyAlignment="1">
      <alignment horizontal="center"/>
    </xf>
    <xf numFmtId="0" fontId="22" fillId="12" borderId="18" xfId="0" applyFont="1" applyFill="1" applyBorder="1" applyAlignment="1">
      <alignment horizontal="center"/>
    </xf>
    <xf numFmtId="175" fontId="11" fillId="21" borderId="17" xfId="1" applyNumberFormat="1" applyFont="1" applyFill="1" applyBorder="1" applyAlignment="1" applyProtection="1">
      <alignment horizontal="right"/>
    </xf>
    <xf numFmtId="175" fontId="11" fillId="21" borderId="2" xfId="1" applyNumberFormat="1" applyFont="1" applyFill="1" applyBorder="1" applyAlignment="1" applyProtection="1">
      <alignment horizontal="right"/>
      <protection locked="0"/>
    </xf>
    <xf numFmtId="175" fontId="11" fillId="21" borderId="18" xfId="1" applyNumberFormat="1" applyFont="1" applyFill="1" applyBorder="1" applyAlignment="1" applyProtection="1">
      <alignment horizontal="right"/>
      <protection locked="0"/>
    </xf>
    <xf numFmtId="169" fontId="11" fillId="21" borderId="17" xfId="1" applyNumberFormat="1" applyFont="1" applyFill="1" applyBorder="1" applyAlignment="1" applyProtection="1">
      <alignment horizontal="right"/>
    </xf>
    <xf numFmtId="0" fontId="7" fillId="12" borderId="12" xfId="0" applyFont="1" applyFill="1" applyBorder="1" applyAlignment="1">
      <alignment vertical="center"/>
    </xf>
    <xf numFmtId="0" fontId="10" fillId="12" borderId="10" xfId="0" applyFont="1" applyFill="1" applyBorder="1"/>
    <xf numFmtId="0" fontId="10" fillId="12" borderId="103" xfId="0" applyFont="1" applyFill="1" applyBorder="1"/>
    <xf numFmtId="175" fontId="23" fillId="24" borderId="15" xfId="1" applyNumberFormat="1" applyFont="1" applyFill="1" applyBorder="1" applyAlignment="1" applyProtection="1">
      <alignment horizontal="left" indent="2"/>
    </xf>
    <xf numFmtId="175" fontId="22" fillId="21" borderId="9" xfId="1" applyNumberFormat="1" applyFont="1" applyFill="1" applyBorder="1" applyAlignment="1" applyProtection="1">
      <alignment horizontal="right"/>
      <protection locked="0"/>
    </xf>
    <xf numFmtId="175" fontId="22" fillId="21" borderId="16" xfId="1" applyNumberFormat="1" applyFont="1" applyFill="1" applyBorder="1" applyAlignment="1" applyProtection="1">
      <alignment horizontal="right"/>
      <protection locked="0"/>
    </xf>
    <xf numFmtId="175" fontId="23" fillId="24" borderId="19" xfId="1" applyNumberFormat="1" applyFont="1" applyFill="1" applyBorder="1" applyAlignment="1" applyProtection="1">
      <alignment horizontal="left" indent="2"/>
    </xf>
    <xf numFmtId="175" fontId="22" fillId="21" borderId="7" xfId="1" applyNumberFormat="1" applyFont="1" applyFill="1" applyBorder="1" applyAlignment="1" applyProtection="1">
      <alignment horizontal="right"/>
      <protection locked="0"/>
    </xf>
    <xf numFmtId="175" fontId="22" fillId="21" borderId="20" xfId="1" applyNumberFormat="1" applyFont="1" applyFill="1" applyBorder="1" applyAlignment="1" applyProtection="1">
      <alignment horizontal="right"/>
      <protection locked="0"/>
    </xf>
    <xf numFmtId="0" fontId="22" fillId="16" borderId="6" xfId="0" applyFont="1" applyFill="1" applyBorder="1" applyAlignment="1">
      <alignment horizontal="left"/>
    </xf>
    <xf numFmtId="3" fontId="10" fillId="16" borderId="17" xfId="0" applyNumberFormat="1" applyFont="1" applyFill="1" applyBorder="1" applyAlignment="1">
      <alignment horizontal="right" vertical="center" indent="1"/>
    </xf>
    <xf numFmtId="3" fontId="10" fillId="16" borderId="2" xfId="0" applyNumberFormat="1" applyFont="1" applyFill="1" applyBorder="1" applyAlignment="1">
      <alignment horizontal="right" vertical="center" indent="1"/>
    </xf>
    <xf numFmtId="3" fontId="10" fillId="16" borderId="18" xfId="0" applyNumberFormat="1" applyFont="1" applyFill="1" applyBorder="1" applyAlignment="1">
      <alignment horizontal="right" vertical="center" indent="1"/>
    </xf>
    <xf numFmtId="3" fontId="10" fillId="16" borderId="19" xfId="0" applyNumberFormat="1" applyFont="1" applyFill="1" applyBorder="1" applyAlignment="1">
      <alignment horizontal="right" vertical="center" indent="1"/>
    </xf>
    <xf numFmtId="3" fontId="10" fillId="16" borderId="7" xfId="0" applyNumberFormat="1" applyFont="1" applyFill="1" applyBorder="1" applyAlignment="1">
      <alignment horizontal="right" vertical="center" indent="1"/>
    </xf>
    <xf numFmtId="3" fontId="10" fillId="16" borderId="20" xfId="0" applyNumberFormat="1" applyFont="1" applyFill="1" applyBorder="1" applyAlignment="1">
      <alignment horizontal="right" vertical="center" indent="1"/>
    </xf>
    <xf numFmtId="0" fontId="10" fillId="16" borderId="15" xfId="0" applyFont="1" applyFill="1" applyBorder="1" applyAlignment="1">
      <alignment horizontal="center"/>
    </xf>
    <xf numFmtId="0" fontId="10" fillId="16" borderId="9" xfId="0" applyFont="1" applyFill="1" applyBorder="1" applyAlignment="1">
      <alignment horizontal="center"/>
    </xf>
    <xf numFmtId="0" fontId="10" fillId="16" borderId="16" xfId="0" applyFont="1" applyFill="1" applyBorder="1" applyAlignment="1">
      <alignment horizontal="center"/>
    </xf>
    <xf numFmtId="9" fontId="8" fillId="16" borderId="19" xfId="2" applyFont="1" applyFill="1" applyBorder="1" applyAlignment="1">
      <alignment horizontal="center"/>
    </xf>
    <xf numFmtId="9" fontId="8" fillId="16" borderId="7" xfId="2" applyFont="1" applyFill="1" applyBorder="1" applyAlignment="1">
      <alignment horizontal="center"/>
    </xf>
    <xf numFmtId="9" fontId="8" fillId="16" borderId="20" xfId="2" applyFont="1" applyFill="1" applyBorder="1" applyAlignment="1">
      <alignment horizontal="center"/>
    </xf>
    <xf numFmtId="0" fontId="6" fillId="2" borderId="0" xfId="0" applyFont="1" applyFill="1" applyAlignment="1">
      <alignment vertical="center" wrapText="1"/>
    </xf>
    <xf numFmtId="0" fontId="8" fillId="0" borderId="0" xfId="0" applyFont="1" applyAlignment="1">
      <alignment wrapText="1"/>
    </xf>
    <xf numFmtId="0" fontId="6" fillId="6" borderId="0" xfId="0" applyFont="1" applyFill="1" applyAlignment="1">
      <alignment vertical="center" wrapText="1"/>
    </xf>
    <xf numFmtId="0" fontId="6" fillId="6" borderId="0" xfId="0" applyFont="1" applyFill="1"/>
    <xf numFmtId="0" fontId="8" fillId="6" borderId="0" xfId="0" applyFont="1" applyFill="1"/>
    <xf numFmtId="0" fontId="10" fillId="6" borderId="0" xfId="0" applyFont="1" applyFill="1" applyAlignment="1">
      <alignment vertical="center"/>
    </xf>
    <xf numFmtId="0" fontId="10" fillId="6" borderId="0" xfId="0" applyFont="1" applyFill="1" applyAlignment="1">
      <alignment vertical="center" wrapText="1"/>
    </xf>
    <xf numFmtId="0" fontId="8" fillId="6" borderId="0" xfId="0" applyFont="1" applyFill="1" applyAlignment="1">
      <alignment wrapText="1"/>
    </xf>
    <xf numFmtId="173" fontId="11" fillId="20" borderId="111" xfId="0" applyNumberFormat="1" applyFont="1" applyFill="1" applyBorder="1" applyAlignment="1" applyProtection="1">
      <alignment horizontal="center"/>
      <protection locked="0"/>
    </xf>
    <xf numFmtId="0" fontId="11" fillId="20" borderId="10" xfId="1" applyNumberFormat="1" applyFont="1" applyFill="1" applyBorder="1" applyAlignment="1" applyProtection="1">
      <alignment horizontal="center" vertical="center"/>
      <protection locked="0"/>
    </xf>
    <xf numFmtId="170" fontId="11" fillId="20" borderId="11" xfId="1" applyNumberFormat="1" applyFont="1" applyFill="1" applyBorder="1" applyAlignment="1" applyProtection="1">
      <alignment horizontal="center" vertical="center"/>
      <protection locked="0"/>
    </xf>
    <xf numFmtId="0" fontId="27" fillId="5" borderId="10" xfId="0" applyFont="1" applyFill="1" applyBorder="1" applyAlignment="1">
      <alignment vertical="center"/>
    </xf>
    <xf numFmtId="0" fontId="27" fillId="5" borderId="11" xfId="0" applyFont="1" applyFill="1" applyBorder="1" applyAlignment="1">
      <alignment vertical="center"/>
    </xf>
    <xf numFmtId="0" fontId="27" fillId="5" borderId="12" xfId="0" applyFont="1" applyFill="1" applyBorder="1" applyAlignment="1">
      <alignment vertical="center"/>
    </xf>
    <xf numFmtId="0" fontId="27" fillId="5" borderId="11" xfId="0" applyFont="1" applyFill="1" applyBorder="1"/>
    <xf numFmtId="0" fontId="27" fillId="5" borderId="12" xfId="0" applyFont="1" applyFill="1" applyBorder="1" applyAlignment="1">
      <alignment wrapText="1"/>
    </xf>
    <xf numFmtId="0" fontId="27" fillId="5" borderId="11" xfId="0" applyFont="1" applyFill="1" applyBorder="1" applyAlignment="1">
      <alignment vertical="center" wrapText="1"/>
    </xf>
    <xf numFmtId="0" fontId="27" fillId="5" borderId="12" xfId="0" applyFont="1" applyFill="1" applyBorder="1" applyAlignment="1">
      <alignment vertical="center" wrapText="1"/>
    </xf>
    <xf numFmtId="165" fontId="11" fillId="20" borderId="10" xfId="1" applyNumberFormat="1" applyFont="1" applyFill="1" applyBorder="1" applyAlignment="1" applyProtection="1">
      <alignment horizontal="center" vertical="center"/>
      <protection locked="0"/>
    </xf>
    <xf numFmtId="165" fontId="11" fillId="20" borderId="11" xfId="1" applyNumberFormat="1" applyFont="1" applyFill="1" applyBorder="1" applyAlignment="1" applyProtection="1">
      <alignment horizontal="center" vertical="center"/>
      <protection locked="0"/>
    </xf>
    <xf numFmtId="10" fontId="11" fillId="20" borderId="11" xfId="1" applyNumberFormat="1" applyFont="1" applyFill="1" applyBorder="1" applyAlignment="1" applyProtection="1">
      <alignment horizontal="center" vertical="center"/>
      <protection locked="0"/>
    </xf>
    <xf numFmtId="165" fontId="11" fillId="20" borderId="12" xfId="1" applyNumberFormat="1" applyFont="1" applyFill="1" applyBorder="1" applyAlignment="1" applyProtection="1">
      <alignment horizontal="center" vertical="center"/>
      <protection locked="0"/>
    </xf>
    <xf numFmtId="0" fontId="15" fillId="5" borderId="6" xfId="0" applyFont="1" applyFill="1" applyBorder="1"/>
    <xf numFmtId="0" fontId="8" fillId="20" borderId="6" xfId="0" applyFont="1" applyFill="1" applyBorder="1"/>
    <xf numFmtId="0" fontId="8" fillId="16" borderId="6" xfId="0" applyFont="1" applyFill="1" applyBorder="1"/>
    <xf numFmtId="0" fontId="7" fillId="3" borderId="0" xfId="0" applyFont="1" applyFill="1" applyAlignment="1">
      <alignment vertical="center"/>
    </xf>
    <xf numFmtId="0" fontId="7" fillId="3" borderId="0" xfId="0" applyFont="1" applyFill="1" applyAlignment="1">
      <alignment horizontal="center" vertical="center"/>
    </xf>
    <xf numFmtId="167" fontId="30" fillId="2" borderId="0" xfId="3" applyNumberFormat="1" applyFont="1" applyFill="1" applyBorder="1" applyAlignment="1" applyProtection="1">
      <alignment vertical="center"/>
    </xf>
    <xf numFmtId="171" fontId="6" fillId="2" borderId="0" xfId="5" applyNumberFormat="1" applyFont="1" applyFill="1" applyBorder="1" applyAlignment="1" applyProtection="1">
      <alignment horizontal="center"/>
    </xf>
    <xf numFmtId="9" fontId="6" fillId="7" borderId="0" xfId="5" applyFont="1" applyFill="1" applyBorder="1" applyAlignment="1" applyProtection="1">
      <alignment horizontal="center" vertical="center"/>
    </xf>
    <xf numFmtId="0" fontId="7" fillId="3" borderId="0" xfId="0" applyFont="1" applyFill="1" applyAlignment="1">
      <alignment vertical="center" wrapText="1"/>
    </xf>
    <xf numFmtId="9" fontId="8" fillId="2" borderId="90" xfId="2" applyFont="1" applyFill="1" applyBorder="1"/>
    <xf numFmtId="9" fontId="8" fillId="2" borderId="90" xfId="2" applyFont="1" applyFill="1" applyBorder="1" applyAlignment="1">
      <alignment horizontal="center"/>
    </xf>
    <xf numFmtId="0" fontId="8" fillId="2" borderId="0" xfId="0" applyFont="1" applyFill="1" applyAlignment="1">
      <alignment horizontal="right"/>
    </xf>
    <xf numFmtId="175" fontId="8" fillId="2" borderId="0" xfId="0" applyNumberFormat="1" applyFont="1" applyFill="1"/>
    <xf numFmtId="0" fontId="6" fillId="2" borderId="125" xfId="0" applyFont="1" applyFill="1" applyBorder="1" applyAlignment="1">
      <alignment horizontal="center" vertical="center" wrapText="1"/>
    </xf>
    <xf numFmtId="0" fontId="6" fillId="2" borderId="126" xfId="0" applyFont="1" applyFill="1" applyBorder="1" applyAlignment="1">
      <alignment horizontal="center" vertical="center" wrapText="1"/>
    </xf>
    <xf numFmtId="3" fontId="33" fillId="20" borderId="17" xfId="0" applyNumberFormat="1" applyFont="1" applyFill="1" applyBorder="1" applyAlignment="1" applyProtection="1">
      <alignment vertical="center" wrapText="1"/>
      <protection locked="0"/>
    </xf>
    <xf numFmtId="3" fontId="34" fillId="20" borderId="17" xfId="0" applyNumberFormat="1" applyFont="1" applyFill="1" applyBorder="1" applyAlignment="1" applyProtection="1">
      <alignment vertical="center" wrapText="1"/>
      <protection locked="0"/>
    </xf>
    <xf numFmtId="175" fontId="8" fillId="2" borderId="127" xfId="1" applyNumberFormat="1" applyFont="1" applyFill="1" applyBorder="1" applyAlignment="1">
      <alignment horizontal="center"/>
    </xf>
    <xf numFmtId="9" fontId="8" fillId="2" borderId="126" xfId="2" applyFont="1" applyFill="1" applyBorder="1" applyAlignment="1">
      <alignment horizontal="center"/>
    </xf>
    <xf numFmtId="0" fontId="8" fillId="0" borderId="11" xfId="0" applyFont="1" applyBorder="1"/>
    <xf numFmtId="0" fontId="8" fillId="0" borderId="0" xfId="0" applyFont="1"/>
    <xf numFmtId="175" fontId="8" fillId="0" borderId="17" xfId="1" applyNumberFormat="1" applyFont="1" applyFill="1" applyBorder="1" applyAlignment="1">
      <alignment horizontal="center"/>
    </xf>
    <xf numFmtId="175" fontId="8" fillId="0" borderId="2" xfId="1" applyNumberFormat="1" applyFont="1" applyFill="1" applyBorder="1" applyAlignment="1">
      <alignment horizontal="center"/>
    </xf>
    <xf numFmtId="175" fontId="8" fillId="0" borderId="18" xfId="1" applyNumberFormat="1" applyFont="1" applyFill="1" applyBorder="1" applyAlignment="1">
      <alignment horizontal="center"/>
    </xf>
    <xf numFmtId="9" fontId="8" fillId="0" borderId="17" xfId="2" applyFont="1" applyFill="1" applyBorder="1" applyAlignment="1">
      <alignment horizontal="center"/>
    </xf>
    <xf numFmtId="9" fontId="8" fillId="0" borderId="2" xfId="2" applyFont="1" applyFill="1" applyBorder="1" applyAlignment="1">
      <alignment horizontal="center"/>
    </xf>
    <xf numFmtId="9" fontId="8" fillId="0" borderId="18" xfId="2" applyFont="1" applyFill="1" applyBorder="1" applyAlignment="1">
      <alignment horizontal="center"/>
    </xf>
    <xf numFmtId="0" fontId="8" fillId="0" borderId="12" xfId="0" applyFont="1" applyBorder="1"/>
    <xf numFmtId="9" fontId="8" fillId="0" borderId="19" xfId="2" applyFont="1" applyFill="1" applyBorder="1" applyAlignment="1">
      <alignment horizontal="center"/>
    </xf>
    <xf numFmtId="9" fontId="8" fillId="0" borderId="7" xfId="2" applyFont="1" applyFill="1" applyBorder="1" applyAlignment="1">
      <alignment horizontal="center"/>
    </xf>
    <xf numFmtId="9" fontId="8" fillId="0" borderId="20" xfId="2" applyFont="1" applyFill="1" applyBorder="1" applyAlignment="1">
      <alignment horizontal="center"/>
    </xf>
    <xf numFmtId="164" fontId="6" fillId="19" borderId="2" xfId="1" applyFont="1" applyFill="1" applyBorder="1" applyAlignment="1" applyProtection="1">
      <protection locked="0"/>
    </xf>
    <xf numFmtId="0" fontId="15" fillId="5" borderId="0" xfId="0" applyFont="1" applyFill="1" applyAlignment="1">
      <alignment horizontal="center" vertical="center" wrapText="1"/>
    </xf>
    <xf numFmtId="0" fontId="7" fillId="2" borderId="128" xfId="0" applyFont="1" applyFill="1" applyBorder="1" applyAlignment="1">
      <alignment horizontal="center" vertical="center" wrapText="1"/>
    </xf>
    <xf numFmtId="3" fontId="22" fillId="16" borderId="116" xfId="0" applyNumberFormat="1" applyFont="1" applyFill="1" applyBorder="1" applyAlignment="1" applyProtection="1">
      <alignment horizontal="center" vertical="center" wrapText="1"/>
      <protection locked="0"/>
    </xf>
    <xf numFmtId="3" fontId="22" fillId="16" borderId="129" xfId="0" applyNumberFormat="1" applyFont="1" applyFill="1" applyBorder="1" applyAlignment="1" applyProtection="1">
      <alignment horizontal="center" vertical="center" wrapText="1"/>
      <protection locked="0"/>
    </xf>
    <xf numFmtId="0" fontId="8" fillId="2" borderId="0" xfId="0" applyFont="1" applyFill="1" applyAlignment="1">
      <alignment horizontal="center" vertical="center" wrapText="1"/>
    </xf>
    <xf numFmtId="0" fontId="8" fillId="2" borderId="130" xfId="0" applyFont="1" applyFill="1" applyBorder="1" applyAlignment="1">
      <alignment horizontal="center" vertical="center" wrapText="1"/>
    </xf>
    <xf numFmtId="9" fontId="8" fillId="2" borderId="0" xfId="2" applyFont="1" applyFill="1" applyBorder="1" applyAlignment="1">
      <alignment horizontal="center"/>
    </xf>
    <xf numFmtId="9" fontId="8" fillId="2" borderId="130" xfId="2" applyFont="1" applyFill="1" applyBorder="1" applyAlignment="1">
      <alignment horizontal="center"/>
    </xf>
    <xf numFmtId="0" fontId="8" fillId="2" borderId="83" xfId="0" applyFont="1" applyFill="1" applyBorder="1"/>
    <xf numFmtId="0" fontId="8" fillId="2" borderId="84" xfId="0" applyFont="1" applyFill="1" applyBorder="1"/>
    <xf numFmtId="0" fontId="8" fillId="2" borderId="132" xfId="0" applyFont="1" applyFill="1" applyBorder="1" applyAlignment="1">
      <alignment horizontal="center" vertical="center" wrapText="1"/>
    </xf>
    <xf numFmtId="9" fontId="8" fillId="2" borderId="132" xfId="2" applyFont="1" applyFill="1" applyBorder="1" applyAlignment="1">
      <alignment horizontal="center"/>
    </xf>
    <xf numFmtId="0" fontId="8" fillId="2" borderId="131" xfId="0" applyFont="1" applyFill="1" applyBorder="1"/>
    <xf numFmtId="0" fontId="0" fillId="25" borderId="0" xfId="0" applyFill="1"/>
    <xf numFmtId="0" fontId="0" fillId="25" borderId="130" xfId="0" applyFill="1" applyBorder="1"/>
    <xf numFmtId="0" fontId="0" fillId="25" borderId="83" xfId="0" applyFill="1" applyBorder="1"/>
    <xf numFmtId="0" fontId="0" fillId="25" borderId="84" xfId="0" applyFill="1" applyBorder="1"/>
    <xf numFmtId="9" fontId="8" fillId="2" borderId="127" xfId="2" applyFont="1" applyFill="1" applyBorder="1" applyAlignment="1">
      <alignment horizontal="center"/>
    </xf>
    <xf numFmtId="9" fontId="8" fillId="2" borderId="104" xfId="2" applyFont="1" applyFill="1" applyBorder="1" applyAlignment="1">
      <alignment horizontal="center"/>
    </xf>
    <xf numFmtId="9" fontId="8" fillId="2" borderId="12" xfId="2" applyFont="1" applyFill="1" applyBorder="1" applyAlignment="1">
      <alignment horizontal="center"/>
    </xf>
    <xf numFmtId="9" fontId="8" fillId="0" borderId="15" xfId="2" applyFont="1" applyFill="1" applyBorder="1" applyAlignment="1">
      <alignment horizontal="center"/>
    </xf>
    <xf numFmtId="9" fontId="8" fillId="0" borderId="9" xfId="2" applyFont="1" applyFill="1" applyBorder="1" applyAlignment="1">
      <alignment horizontal="center"/>
    </xf>
    <xf numFmtId="9" fontId="8" fillId="0" borderId="16" xfId="2" applyFont="1" applyFill="1" applyBorder="1" applyAlignment="1">
      <alignment horizontal="center"/>
    </xf>
    <xf numFmtId="9" fontId="8" fillId="0" borderId="90" xfId="2" applyFont="1" applyFill="1" applyBorder="1"/>
    <xf numFmtId="176" fontId="8" fillId="0" borderId="17" xfId="1" applyNumberFormat="1" applyFont="1" applyFill="1" applyBorder="1"/>
    <xf numFmtId="176" fontId="8" fillId="0" borderId="2" xfId="1" applyNumberFormat="1" applyFont="1" applyFill="1" applyBorder="1"/>
    <xf numFmtId="176" fontId="8" fillId="0" borderId="18" xfId="1" applyNumberFormat="1" applyFont="1" applyFill="1" applyBorder="1"/>
    <xf numFmtId="176" fontId="8" fillId="0" borderId="19" xfId="1" applyNumberFormat="1" applyFont="1" applyFill="1" applyBorder="1"/>
    <xf numFmtId="176" fontId="8" fillId="0" borderId="7" xfId="1" applyNumberFormat="1" applyFont="1" applyFill="1" applyBorder="1"/>
    <xf numFmtId="176" fontId="8" fillId="0" borderId="20" xfId="1" applyNumberFormat="1" applyFont="1" applyFill="1" applyBorder="1"/>
    <xf numFmtId="0" fontId="8" fillId="0" borderId="10" xfId="0" applyFont="1" applyBorder="1"/>
    <xf numFmtId="0" fontId="8" fillId="0" borderId="23" xfId="0" applyFont="1" applyBorder="1"/>
    <xf numFmtId="9" fontId="8" fillId="2" borderId="2" xfId="2" quotePrefix="1" applyFont="1" applyFill="1" applyBorder="1"/>
    <xf numFmtId="175" fontId="6" fillId="19" borderId="125" xfId="1" applyNumberFormat="1" applyFont="1" applyFill="1" applyBorder="1" applyAlignment="1" applyProtection="1">
      <protection locked="0"/>
    </xf>
    <xf numFmtId="0" fontId="38" fillId="3" borderId="0" xfId="0" applyFont="1" applyFill="1" applyAlignment="1">
      <alignment horizontal="left" vertical="center"/>
    </xf>
    <xf numFmtId="0" fontId="38" fillId="2" borderId="0" xfId="0" applyFont="1" applyFill="1" applyAlignment="1">
      <alignment horizontal="left"/>
    </xf>
    <xf numFmtId="0" fontId="36" fillId="2" borderId="0" xfId="0" applyFont="1" applyFill="1" applyAlignment="1">
      <alignment horizontal="left"/>
    </xf>
    <xf numFmtId="0" fontId="38" fillId="4" borderId="0" xfId="0" applyFont="1" applyFill="1" applyAlignment="1" applyProtection="1">
      <alignment horizontal="left" vertical="top" wrapText="1"/>
      <protection locked="0"/>
    </xf>
    <xf numFmtId="0" fontId="40" fillId="0" borderId="11" xfId="0" applyFont="1" applyBorder="1" applyAlignment="1">
      <alignment horizontal="center" vertical="center"/>
    </xf>
    <xf numFmtId="165" fontId="40" fillId="0" borderId="11" xfId="1" applyNumberFormat="1" applyFont="1" applyFill="1" applyBorder="1" applyAlignment="1" applyProtection="1">
      <alignment horizontal="center" vertical="center"/>
      <protection locked="0"/>
    </xf>
    <xf numFmtId="0" fontId="8" fillId="26" borderId="6" xfId="0" applyFont="1" applyFill="1" applyBorder="1"/>
    <xf numFmtId="173" fontId="11" fillId="20" borderId="111" xfId="0" applyNumberFormat="1" applyFont="1" applyFill="1" applyBorder="1" applyAlignment="1" applyProtection="1">
      <alignment horizontal="center" vertical="center"/>
      <protection locked="0"/>
    </xf>
    <xf numFmtId="0" fontId="35" fillId="0" borderId="0" xfId="0" applyFont="1"/>
    <xf numFmtId="168" fontId="6" fillId="0" borderId="0" xfId="0" applyNumberFormat="1" applyFont="1"/>
    <xf numFmtId="0" fontId="8" fillId="16" borderId="17" xfId="1" applyNumberFormat="1" applyFont="1" applyFill="1" applyBorder="1" applyAlignment="1">
      <alignment horizontal="center"/>
    </xf>
    <xf numFmtId="175" fontId="8" fillId="9" borderId="16" xfId="1" applyNumberFormat="1" applyFont="1" applyFill="1" applyBorder="1" applyAlignment="1">
      <alignment horizontal="center"/>
    </xf>
    <xf numFmtId="175" fontId="8" fillId="9" borderId="127" xfId="1" applyNumberFormat="1" applyFont="1" applyFill="1" applyBorder="1" applyAlignment="1">
      <alignment horizontal="center"/>
    </xf>
    <xf numFmtId="0" fontId="36" fillId="2" borderId="0" xfId="0" applyFont="1" applyFill="1"/>
    <xf numFmtId="169" fontId="37" fillId="2" borderId="0" xfId="1" applyNumberFormat="1" applyFont="1" applyFill="1" applyBorder="1" applyAlignment="1">
      <alignment horizontal="left"/>
    </xf>
    <xf numFmtId="176" fontId="8" fillId="0" borderId="15" xfId="1" applyNumberFormat="1" applyFont="1" applyFill="1" applyBorder="1"/>
    <xf numFmtId="176" fontId="8" fillId="0" borderId="16" xfId="1" applyNumberFormat="1" applyFont="1" applyFill="1" applyBorder="1"/>
    <xf numFmtId="176" fontId="8" fillId="0" borderId="11" xfId="1" applyNumberFormat="1" applyFont="1" applyFill="1" applyBorder="1"/>
    <xf numFmtId="10" fontId="8" fillId="2" borderId="0" xfId="0" applyNumberFormat="1" applyFont="1" applyFill="1" applyAlignment="1">
      <alignment horizontal="center"/>
    </xf>
    <xf numFmtId="9" fontId="8" fillId="2" borderId="0" xfId="0" applyNumberFormat="1" applyFont="1" applyFill="1" applyAlignment="1">
      <alignment horizontal="center"/>
    </xf>
    <xf numFmtId="0" fontId="10" fillId="0" borderId="0" xfId="0" applyFont="1" applyAlignment="1">
      <alignment vertical="center"/>
    </xf>
    <xf numFmtId="9" fontId="8" fillId="16" borderId="6" xfId="2" applyFont="1" applyFill="1" applyBorder="1" applyAlignment="1">
      <alignment horizontal="center"/>
    </xf>
    <xf numFmtId="175" fontId="39" fillId="2" borderId="0" xfId="0" applyNumberFormat="1" applyFont="1" applyFill="1"/>
    <xf numFmtId="175" fontId="39" fillId="2" borderId="0" xfId="0" applyNumberFormat="1" applyFont="1" applyFill="1" applyAlignment="1">
      <alignment horizontal="left"/>
    </xf>
    <xf numFmtId="175" fontId="37" fillId="2" borderId="0" xfId="0" applyNumberFormat="1" applyFont="1" applyFill="1"/>
    <xf numFmtId="175" fontId="36" fillId="2" borderId="0" xfId="0" applyNumberFormat="1" applyFont="1" applyFill="1" applyAlignment="1">
      <alignment horizontal="left"/>
    </xf>
    <xf numFmtId="0" fontId="43" fillId="0" borderId="133" xfId="9" applyFont="1" applyBorder="1"/>
    <xf numFmtId="0" fontId="43" fillId="0" borderId="133" xfId="9" applyFont="1" applyBorder="1" applyAlignment="1">
      <alignment horizontal="center"/>
    </xf>
    <xf numFmtId="178" fontId="43" fillId="0" borderId="133" xfId="9" applyNumberFormat="1" applyFont="1" applyBorder="1" applyAlignment="1">
      <alignment horizontal="center"/>
    </xf>
    <xf numFmtId="0" fontId="42" fillId="0" borderId="133" xfId="9" applyFont="1" applyBorder="1" applyAlignment="1">
      <alignment horizontal="center"/>
    </xf>
    <xf numFmtId="178" fontId="42" fillId="0" borderId="133" xfId="9" applyNumberFormat="1" applyFont="1" applyBorder="1" applyAlignment="1">
      <alignment horizontal="center"/>
    </xf>
    <xf numFmtId="0" fontId="44" fillId="0" borderId="133" xfId="9" applyFont="1" applyBorder="1"/>
    <xf numFmtId="178" fontId="43" fillId="0" borderId="133" xfId="9" applyNumberFormat="1" applyFont="1" applyBorder="1" applyAlignment="1">
      <alignment horizontal="center" wrapText="1"/>
    </xf>
    <xf numFmtId="0" fontId="37" fillId="2" borderId="0" xfId="0" applyFont="1" applyFill="1"/>
    <xf numFmtId="0" fontId="37" fillId="2" borderId="0" xfId="0" applyFont="1" applyFill="1" applyAlignment="1">
      <alignment horizontal="right"/>
    </xf>
    <xf numFmtId="0" fontId="37" fillId="0" borderId="0" xfId="0" applyFont="1" applyAlignment="1">
      <alignment horizontal="right"/>
    </xf>
    <xf numFmtId="0" fontId="37" fillId="2" borderId="0" xfId="0" applyFont="1" applyFill="1" applyAlignment="1">
      <alignment horizontal="center"/>
    </xf>
    <xf numFmtId="0" fontId="45" fillId="0" borderId="0" xfId="0" applyFont="1" applyAlignment="1">
      <alignment horizontal="right"/>
    </xf>
    <xf numFmtId="0" fontId="7" fillId="3" borderId="0" xfId="0" applyFont="1" applyFill="1" applyAlignment="1">
      <alignment horizontal="left" wrapText="1"/>
    </xf>
    <xf numFmtId="0" fontId="36" fillId="2" borderId="0" xfId="0" applyFont="1" applyFill="1" applyAlignment="1">
      <alignment horizontal="center" wrapText="1"/>
    </xf>
    <xf numFmtId="0" fontId="37" fillId="2" borderId="0" xfId="0" applyFont="1" applyFill="1" applyAlignment="1">
      <alignment horizontal="center" vertical="center"/>
    </xf>
    <xf numFmtId="0" fontId="15" fillId="5" borderId="0" xfId="0" applyFont="1" applyFill="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7" fillId="3" borderId="0" xfId="0" applyFont="1" applyFill="1" applyAlignment="1">
      <alignment horizontal="center" vertical="center"/>
    </xf>
    <xf numFmtId="0" fontId="8" fillId="2" borderId="115" xfId="0" applyFont="1" applyFill="1" applyBorder="1" applyAlignment="1">
      <alignment horizontal="left" vertical="center"/>
    </xf>
    <xf numFmtId="0" fontId="10" fillId="2" borderId="73" xfId="0" applyFont="1" applyFill="1" applyBorder="1" applyAlignment="1">
      <alignment horizontal="center" wrapText="1"/>
    </xf>
    <xf numFmtId="0" fontId="10" fillId="2" borderId="74" xfId="0" applyFont="1" applyFill="1" applyBorder="1" applyAlignment="1">
      <alignment horizontal="center" wrapText="1"/>
    </xf>
    <xf numFmtId="0" fontId="10" fillId="2" borderId="75" xfId="0" applyFont="1" applyFill="1" applyBorder="1" applyAlignment="1">
      <alignment horizontal="center" wrapText="1"/>
    </xf>
    <xf numFmtId="0" fontId="43" fillId="27" borderId="134" xfId="9" applyFont="1" applyFill="1" applyBorder="1" applyAlignment="1">
      <alignment horizontal="center"/>
    </xf>
    <xf numFmtId="0" fontId="43" fillId="27" borderId="135" xfId="9" applyFont="1" applyFill="1" applyBorder="1" applyAlignment="1">
      <alignment horizontal="center"/>
    </xf>
    <xf numFmtId="0" fontId="43" fillId="27" borderId="136" xfId="9" applyFont="1" applyFill="1" applyBorder="1" applyAlignment="1">
      <alignment horizontal="center"/>
    </xf>
    <xf numFmtId="0" fontId="8" fillId="2" borderId="86"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87"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xf>
  </cellXfs>
  <cellStyles count="11">
    <cellStyle name="Excel Built-in Normal" xfId="6" xr:uid="{00000000-0005-0000-0000-000000000000}"/>
    <cellStyle name="Milliers" xfId="1" builtinId="3"/>
    <cellStyle name="Milliers 2" xfId="3" xr:uid="{00000000-0005-0000-0000-000002000000}"/>
    <cellStyle name="Monétaire" xfId="7" builtinId="4"/>
    <cellStyle name="Monétaire 2" xfId="10" xr:uid="{9BBA8FFB-80D4-4455-9463-C0916D7FDF55}"/>
    <cellStyle name="Normal" xfId="0" builtinId="0"/>
    <cellStyle name="Normal 2" xfId="9" xr:uid="{63B98AEA-A43F-492B-AE64-A8F0A9D9DF62}"/>
    <cellStyle name="Normal 2 2" xfId="8" xr:uid="{00000000-0005-0000-0000-000005000000}"/>
    <cellStyle name="Pourcentage" xfId="2" builtinId="5"/>
    <cellStyle name="Pourcentage 2" xfId="5" xr:uid="{00000000-0005-0000-0000-000007000000}"/>
    <cellStyle name="Pourcentage 3" xfId="4" xr:uid="{00000000-0005-0000-0000-000008000000}"/>
  </cellStyles>
  <dxfs count="26">
    <dxf>
      <font>
        <color theme="7" tint="-0.24994659260841701"/>
      </font>
      <fill>
        <patternFill>
          <bgColor theme="7" tint="-0.24994659260841701"/>
        </patternFill>
      </fill>
    </dxf>
    <dxf>
      <font>
        <color theme="7" tint="-0.24994659260841701"/>
      </font>
      <fill>
        <patternFill>
          <bgColor theme="7" tint="-0.24994659260841701"/>
        </patternFill>
      </fill>
    </dxf>
    <dxf>
      <font>
        <color theme="7" tint="-0.24994659260841701"/>
      </font>
      <fill>
        <patternFill>
          <bgColor theme="7" tint="-0.24994659260841701"/>
        </patternFill>
      </fill>
    </dxf>
    <dxf>
      <fill>
        <patternFill>
          <bgColor rgb="FF99FF99"/>
        </patternFill>
      </fill>
    </dxf>
    <dxf>
      <fill>
        <patternFill>
          <bgColor theme="9" tint="0.59996337778862885"/>
        </patternFill>
      </fill>
    </dxf>
    <dxf>
      <fill>
        <patternFill>
          <bgColor rgb="FFFF0000"/>
        </patternFill>
      </fill>
    </dxf>
    <dxf>
      <fill>
        <patternFill>
          <bgColor rgb="FF99FF99"/>
        </patternFill>
      </fill>
    </dxf>
    <dxf>
      <fill>
        <patternFill>
          <bgColor rgb="FFFF0000"/>
        </patternFill>
      </fill>
    </dxf>
    <dxf>
      <fill>
        <patternFill>
          <bgColor rgb="FF99FF99"/>
        </patternFill>
      </fill>
    </dxf>
    <dxf>
      <fill>
        <patternFill>
          <bgColor theme="9" tint="0.59996337778862885"/>
        </patternFill>
      </fill>
    </dxf>
    <dxf>
      <fill>
        <patternFill>
          <bgColor rgb="FF99FF99"/>
        </patternFill>
      </fill>
    </dxf>
    <dxf>
      <fill>
        <patternFill>
          <bgColor rgb="FFFF0000"/>
        </patternFill>
      </fill>
    </dxf>
    <dxf>
      <fill>
        <patternFill>
          <bgColor rgb="FF99FF99"/>
        </patternFill>
      </fill>
    </dxf>
    <dxf>
      <fill>
        <patternFill>
          <bgColor rgb="FF99FF99"/>
        </patternFill>
      </fill>
    </dxf>
    <dxf>
      <fill>
        <patternFill>
          <bgColor rgb="FFFF0000"/>
        </patternFill>
      </fill>
    </dxf>
    <dxf>
      <fill>
        <patternFill>
          <bgColor theme="9" tint="0.59996337778862885"/>
        </patternFill>
      </fill>
    </dxf>
    <dxf>
      <font>
        <b val="0"/>
        <i val="0"/>
        <color auto="1"/>
      </font>
      <fill>
        <patternFill>
          <bgColor rgb="FFFF0000"/>
        </patternFill>
      </fill>
    </dxf>
    <dxf>
      <font>
        <b val="0"/>
        <i val="0"/>
        <color auto="1"/>
      </font>
      <fill>
        <patternFill>
          <bgColor rgb="FFFF9393"/>
        </patternFill>
      </fill>
    </dxf>
    <dxf>
      <font>
        <b val="0"/>
        <i val="0"/>
        <color auto="1"/>
      </font>
      <fill>
        <patternFill>
          <bgColor rgb="FFFFD1D1"/>
        </patternFill>
      </fill>
    </dxf>
    <dxf>
      <font>
        <b val="0"/>
        <i val="0"/>
        <color auto="1"/>
      </font>
      <fill>
        <patternFill>
          <bgColor rgb="FF99FF99"/>
        </patternFill>
      </fill>
    </dxf>
    <dxf>
      <fill>
        <patternFill>
          <bgColor rgb="FFFF0000"/>
        </patternFill>
      </fill>
    </dxf>
    <dxf>
      <fill>
        <patternFill>
          <bgColor rgb="FF99FF99"/>
        </patternFill>
      </fill>
    </dxf>
    <dxf>
      <font>
        <color theme="7" tint="-0.24994659260841701"/>
      </font>
      <fill>
        <patternFill>
          <bgColor theme="7" tint="-0.24994659260841701"/>
        </patternFill>
      </fill>
    </dxf>
    <dxf>
      <font>
        <color theme="7" tint="-0.24994659260841701"/>
      </font>
      <fill>
        <patternFill>
          <bgColor theme="7" tint="-0.24994659260841701"/>
        </patternFill>
      </fill>
    </dxf>
    <dxf>
      <font>
        <color theme="7" tint="-0.24994659260841701"/>
      </font>
      <fill>
        <patternFill>
          <bgColor theme="7" tint="-0.24994659260841701"/>
        </patternFill>
      </fill>
    </dxf>
    <dxf>
      <font>
        <color theme="7" tint="-0.24994659260841701"/>
      </font>
      <fill>
        <patternFill>
          <bgColor theme="7" tint="-0.24994659260841701"/>
        </patternFill>
      </fill>
    </dxf>
  </dxfs>
  <tableStyles count="0" defaultTableStyle="TableStyleMedium9" defaultPivotStyle="PivotStyleLight16"/>
  <colors>
    <mruColors>
      <color rgb="FFFFCCFF"/>
      <color rgb="FFFFEBED"/>
      <color rgb="FFFFD1D1"/>
      <color rgb="FF99FF99"/>
      <color rgb="FFFF9393"/>
      <color rgb="FFFFB3B3"/>
      <color rgb="FF66FF66"/>
      <color rgb="FFFFB9C1"/>
      <color rgb="FFC2FA8A"/>
      <color rgb="FF2CF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Analyse de l'évolution</a:t>
            </a:r>
            <a:r>
              <a:rPr lang="fr-FR" baseline="0"/>
              <a:t> de la trésorerie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'Synthèse analyse'!$B$8</c:f>
              <c:strCache>
                <c:ptCount val="1"/>
                <c:pt idx="0">
                  <c:v>Besoin en fonds de roulement (BFR)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'Synthèse analyse'!$D$6:$H$6</c:f>
              <c:numCache>
                <c:formatCode>General</c:formatCode>
                <c:ptCount val="5"/>
                <c:pt idx="0">
                  <c:v>2018</c:v>
                </c:pt>
                <c:pt idx="1">
                  <c:v>2019</c:v>
                </c:pt>
                <c:pt idx="2">
                  <c:v>2020</c:v>
                </c:pt>
                <c:pt idx="3">
                  <c:v>2021</c:v>
                </c:pt>
                <c:pt idx="4">
                  <c:v>2022</c:v>
                </c:pt>
              </c:numCache>
            </c:numRef>
          </c:cat>
          <c:val>
            <c:numRef>
              <c:f>'Synthèse analyse'!$D$8:$H$8</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579D-467F-A299-2B01163DF7C8}"/>
            </c:ext>
          </c:extLst>
        </c:ser>
        <c:ser>
          <c:idx val="1"/>
          <c:order val="1"/>
          <c:tx>
            <c:strRef>
              <c:f>'Synthèse analyse'!$B$9</c:f>
              <c:strCache>
                <c:ptCount val="1"/>
                <c:pt idx="0">
                  <c:v>Fonds de roulement (FR)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'Synthèse analyse'!$D$6:$H$6</c:f>
              <c:numCache>
                <c:formatCode>General</c:formatCode>
                <c:ptCount val="5"/>
                <c:pt idx="0">
                  <c:v>2018</c:v>
                </c:pt>
                <c:pt idx="1">
                  <c:v>2019</c:v>
                </c:pt>
                <c:pt idx="2">
                  <c:v>2020</c:v>
                </c:pt>
                <c:pt idx="3">
                  <c:v>2021</c:v>
                </c:pt>
                <c:pt idx="4">
                  <c:v>2022</c:v>
                </c:pt>
              </c:numCache>
            </c:numRef>
          </c:cat>
          <c:val>
            <c:numRef>
              <c:f>'Synthèse analyse'!$D$9:$H$9</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9D-467F-A299-2B01163DF7C8}"/>
            </c:ext>
          </c:extLst>
        </c:ser>
        <c:ser>
          <c:idx val="2"/>
          <c:order val="2"/>
          <c:tx>
            <c:strRef>
              <c:f>'Synthèse analyse'!$B$10</c:f>
              <c:strCache>
                <c:ptCount val="1"/>
                <c:pt idx="0">
                  <c:v>Trésorerie nette (TN)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'Synthèse analyse'!$D$6:$H$6</c:f>
              <c:numCache>
                <c:formatCode>General</c:formatCode>
                <c:ptCount val="5"/>
                <c:pt idx="0">
                  <c:v>2018</c:v>
                </c:pt>
                <c:pt idx="1">
                  <c:v>2019</c:v>
                </c:pt>
                <c:pt idx="2">
                  <c:v>2020</c:v>
                </c:pt>
                <c:pt idx="3">
                  <c:v>2021</c:v>
                </c:pt>
                <c:pt idx="4">
                  <c:v>2022</c:v>
                </c:pt>
              </c:numCache>
            </c:numRef>
          </c:cat>
          <c:val>
            <c:numRef>
              <c:f>'Synthèse analyse'!$D$10:$H$10</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79D-467F-A299-2B01163DF7C8}"/>
            </c:ext>
          </c:extLst>
        </c:ser>
        <c:dLbls>
          <c:showLegendKey val="0"/>
          <c:showVal val="0"/>
          <c:showCatName val="0"/>
          <c:showSerName val="0"/>
          <c:showPercent val="0"/>
          <c:showBubbleSize val="0"/>
        </c:dLbls>
        <c:marker val="1"/>
        <c:smooth val="0"/>
        <c:axId val="546550176"/>
        <c:axId val="546548864"/>
      </c:lineChart>
      <c:catAx>
        <c:axId val="54655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548864"/>
        <c:crosses val="autoZero"/>
        <c:auto val="1"/>
        <c:lblAlgn val="ctr"/>
        <c:lblOffset val="100"/>
        <c:noMultiLvlLbl val="0"/>
      </c:catAx>
      <c:valAx>
        <c:axId val="546548864"/>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55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Feuil1!$C$15</c:f>
              <c:strCache>
                <c:ptCount val="1"/>
                <c:pt idx="0">
                  <c:v>Total encaissement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Feuil1!$D$15:$O$15</c:f>
              <c:numCache>
                <c:formatCode>#,##0</c:formatCode>
                <c:ptCount val="12"/>
                <c:pt idx="0">
                  <c:v>0</c:v>
                </c:pt>
                <c:pt idx="1">
                  <c:v>15000</c:v>
                </c:pt>
                <c:pt idx="2">
                  <c:v>15000</c:v>
                </c:pt>
                <c:pt idx="3">
                  <c:v>15000</c:v>
                </c:pt>
                <c:pt idx="4">
                  <c:v>65000</c:v>
                </c:pt>
                <c:pt idx="5">
                  <c:v>15000</c:v>
                </c:pt>
                <c:pt idx="6">
                  <c:v>45000</c:v>
                </c:pt>
                <c:pt idx="7">
                  <c:v>165000</c:v>
                </c:pt>
                <c:pt idx="8">
                  <c:v>15000</c:v>
                </c:pt>
                <c:pt idx="9">
                  <c:v>0</c:v>
                </c:pt>
                <c:pt idx="10">
                  <c:v>0</c:v>
                </c:pt>
                <c:pt idx="11">
                  <c:v>0</c:v>
                </c:pt>
              </c:numCache>
            </c:numRef>
          </c:val>
          <c:smooth val="0"/>
          <c:extLst>
            <c:ext xmlns:c16="http://schemas.microsoft.com/office/drawing/2014/chart" uri="{C3380CC4-5D6E-409C-BE32-E72D297353CC}">
              <c16:uniqueId val="{00000000-E6F3-46E9-8B31-51BAB3357756}"/>
            </c:ext>
          </c:extLst>
        </c:ser>
        <c:ser>
          <c:idx val="1"/>
          <c:order val="1"/>
          <c:tx>
            <c:strRef>
              <c:f>Feuil1!$C$16</c:f>
              <c:strCache>
                <c:ptCount val="1"/>
                <c:pt idx="0">
                  <c:v>Total décaissement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Feuil1!$D$16:$O$16</c:f>
              <c:numCache>
                <c:formatCode>#,##0</c:formatCode>
                <c:ptCount val="12"/>
                <c:pt idx="0">
                  <c:v>0</c:v>
                </c:pt>
                <c:pt idx="1">
                  <c:v>30000</c:v>
                </c:pt>
                <c:pt idx="2">
                  <c:v>30000</c:v>
                </c:pt>
                <c:pt idx="3">
                  <c:v>30000</c:v>
                </c:pt>
                <c:pt idx="4">
                  <c:v>30000</c:v>
                </c:pt>
                <c:pt idx="5">
                  <c:v>30000</c:v>
                </c:pt>
                <c:pt idx="6">
                  <c:v>30000</c:v>
                </c:pt>
                <c:pt idx="7">
                  <c:v>30000</c:v>
                </c:pt>
                <c:pt idx="8">
                  <c:v>3000</c:v>
                </c:pt>
                <c:pt idx="9">
                  <c:v>0</c:v>
                </c:pt>
                <c:pt idx="10">
                  <c:v>0</c:v>
                </c:pt>
                <c:pt idx="11">
                  <c:v>0</c:v>
                </c:pt>
              </c:numCache>
            </c:numRef>
          </c:val>
          <c:smooth val="0"/>
          <c:extLst>
            <c:ext xmlns:c16="http://schemas.microsoft.com/office/drawing/2014/chart" uri="{C3380CC4-5D6E-409C-BE32-E72D297353CC}">
              <c16:uniqueId val="{00000001-E6F3-46E9-8B31-51BAB3357756}"/>
            </c:ext>
          </c:extLst>
        </c:ser>
        <c:ser>
          <c:idx val="3"/>
          <c:order val="2"/>
          <c:tx>
            <c:strRef>
              <c:f>Feuil1!$C$17</c:f>
              <c:strCache>
                <c:ptCount val="1"/>
                <c:pt idx="0">
                  <c:v>Solde de trésorerie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Feuil1!$D$17:$O$17</c:f>
              <c:numCache>
                <c:formatCode>#,##0</c:formatCode>
                <c:ptCount val="12"/>
                <c:pt idx="0">
                  <c:v>80635</c:v>
                </c:pt>
                <c:pt idx="1">
                  <c:v>65635</c:v>
                </c:pt>
                <c:pt idx="2">
                  <c:v>50635</c:v>
                </c:pt>
                <c:pt idx="3">
                  <c:v>35635</c:v>
                </c:pt>
                <c:pt idx="4">
                  <c:v>70635</c:v>
                </c:pt>
                <c:pt idx="5">
                  <c:v>55635</c:v>
                </c:pt>
                <c:pt idx="6">
                  <c:v>70635</c:v>
                </c:pt>
                <c:pt idx="7">
                  <c:v>205635</c:v>
                </c:pt>
                <c:pt idx="8">
                  <c:v>217635</c:v>
                </c:pt>
                <c:pt idx="9">
                  <c:v>217635</c:v>
                </c:pt>
                <c:pt idx="10">
                  <c:v>217635</c:v>
                </c:pt>
                <c:pt idx="11">
                  <c:v>217635</c:v>
                </c:pt>
              </c:numCache>
            </c:numRef>
          </c:val>
          <c:smooth val="0"/>
          <c:extLst>
            <c:ext xmlns:c16="http://schemas.microsoft.com/office/drawing/2014/chart" uri="{C3380CC4-5D6E-409C-BE32-E72D297353CC}">
              <c16:uniqueId val="{00000002-E6F3-46E9-8B31-51BAB3357756}"/>
            </c:ext>
          </c:extLst>
        </c:ser>
        <c:dLbls>
          <c:showLegendKey val="0"/>
          <c:showVal val="0"/>
          <c:showCatName val="0"/>
          <c:showSerName val="0"/>
          <c:showPercent val="0"/>
          <c:showBubbleSize val="0"/>
        </c:dLbls>
        <c:marker val="1"/>
        <c:smooth val="0"/>
        <c:axId val="552485608"/>
        <c:axId val="552479048"/>
      </c:lineChart>
      <c:dateAx>
        <c:axId val="552485608"/>
        <c:scaling>
          <c:orientation val="minMax"/>
        </c:scaling>
        <c:delete val="0"/>
        <c:axPos val="b"/>
        <c:numFmt formatCode="[$-40C]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479048"/>
        <c:crosses val="autoZero"/>
        <c:auto val="1"/>
        <c:lblOffset val="100"/>
        <c:baseTimeUnit val="months"/>
      </c:dateAx>
      <c:valAx>
        <c:axId val="55247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485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0"/>
          <c:tx>
            <c:strRef>
              <c:f>'Synthèse prévisionnels'!$M$7</c:f>
              <c:strCache>
                <c:ptCount val="1"/>
                <c:pt idx="0">
                  <c:v>Excédent brut d'exploitation (en % des produits d'exploitation)</c:v>
                </c:pt>
              </c:strCache>
            </c:strRef>
          </c:tx>
          <c:spPr>
            <a:solidFill>
              <a:schemeClr val="accent5"/>
            </a:solidFill>
            <a:ln>
              <a:noFill/>
            </a:ln>
            <a:effectLst/>
          </c:spPr>
          <c:invertIfNegative val="0"/>
          <c:cat>
            <c:numRef>
              <c:f>'Synthèse prévisionnels'!$O$5:$R$5</c:f>
              <c:numCache>
                <c:formatCode>0</c:formatCode>
                <c:ptCount val="4"/>
                <c:pt idx="0">
                  <c:v>2022</c:v>
                </c:pt>
                <c:pt idx="1">
                  <c:v>2023</c:v>
                </c:pt>
                <c:pt idx="2">
                  <c:v>2024</c:v>
                </c:pt>
                <c:pt idx="3">
                  <c:v>2025</c:v>
                </c:pt>
              </c:numCache>
            </c:numRef>
          </c:cat>
          <c:val>
            <c:numRef>
              <c:f>'Synthèse prévisionnels'!$O$7:$R$7</c:f>
              <c:numCache>
                <c:formatCode>0%</c:formatCode>
                <c:ptCount val="4"/>
                <c:pt idx="0">
                  <c:v>0</c:v>
                </c:pt>
                <c:pt idx="1">
                  <c:v>0.33163346666934684</c:v>
                </c:pt>
                <c:pt idx="2">
                  <c:v>0.33707865168539325</c:v>
                </c:pt>
                <c:pt idx="3">
                  <c:v>0.35070422535211265</c:v>
                </c:pt>
              </c:numCache>
            </c:numRef>
          </c:val>
          <c:extLst>
            <c:ext xmlns:c16="http://schemas.microsoft.com/office/drawing/2014/chart" uri="{C3380CC4-5D6E-409C-BE32-E72D297353CC}">
              <c16:uniqueId val="{00000002-AD75-473E-B57E-E04085A2380D}"/>
            </c:ext>
          </c:extLst>
        </c:ser>
        <c:ser>
          <c:idx val="5"/>
          <c:order val="1"/>
          <c:tx>
            <c:strRef>
              <c:f>'Synthèse prévisionnels'!$M$8</c:f>
              <c:strCache>
                <c:ptCount val="1"/>
                <c:pt idx="0">
                  <c:v>Résultat d’exploitation (en % des produits d'exploitation)</c:v>
                </c:pt>
              </c:strCache>
            </c:strRef>
          </c:tx>
          <c:spPr>
            <a:solidFill>
              <a:schemeClr val="accent6"/>
            </a:solidFill>
            <a:ln>
              <a:noFill/>
            </a:ln>
            <a:effectLst/>
          </c:spPr>
          <c:invertIfNegative val="0"/>
          <c:cat>
            <c:numRef>
              <c:f>'Synthèse prévisionnels'!$O$5:$R$5</c:f>
              <c:numCache>
                <c:formatCode>0</c:formatCode>
                <c:ptCount val="4"/>
                <c:pt idx="0">
                  <c:v>2022</c:v>
                </c:pt>
                <c:pt idx="1">
                  <c:v>2023</c:v>
                </c:pt>
                <c:pt idx="2">
                  <c:v>2024</c:v>
                </c:pt>
                <c:pt idx="3">
                  <c:v>2025</c:v>
                </c:pt>
              </c:numCache>
            </c:numRef>
          </c:cat>
          <c:val>
            <c:numRef>
              <c:f>'Synthèse prévisionnels'!$O$8:$R$8</c:f>
              <c:numCache>
                <c:formatCode>0%</c:formatCode>
                <c:ptCount val="4"/>
                <c:pt idx="0">
                  <c:v>0</c:v>
                </c:pt>
                <c:pt idx="1">
                  <c:v>0.24726102813903586</c:v>
                </c:pt>
                <c:pt idx="2">
                  <c:v>0.256554307116105</c:v>
                </c:pt>
                <c:pt idx="3">
                  <c:v>0.23514866979655707</c:v>
                </c:pt>
              </c:numCache>
            </c:numRef>
          </c:val>
          <c:extLst>
            <c:ext xmlns:c16="http://schemas.microsoft.com/office/drawing/2014/chart" uri="{C3380CC4-5D6E-409C-BE32-E72D297353CC}">
              <c16:uniqueId val="{00000003-AD75-473E-B57E-E04085A2380D}"/>
            </c:ext>
          </c:extLst>
        </c:ser>
        <c:dLbls>
          <c:showLegendKey val="0"/>
          <c:showVal val="0"/>
          <c:showCatName val="0"/>
          <c:showSerName val="0"/>
          <c:showPercent val="0"/>
          <c:showBubbleSize val="0"/>
        </c:dLbls>
        <c:gapWidth val="150"/>
        <c:axId val="694547072"/>
        <c:axId val="694540840"/>
      </c:barChart>
      <c:lineChart>
        <c:grouping val="standard"/>
        <c:varyColors val="0"/>
        <c:ser>
          <c:idx val="1"/>
          <c:order val="2"/>
          <c:tx>
            <c:strRef>
              <c:f>'Synthèse prévisionnels'!$M$9</c:f>
              <c:strCache>
                <c:ptCount val="1"/>
                <c:pt idx="0">
                  <c:v>Résultat net</c:v>
                </c:pt>
              </c:strCache>
            </c:strRef>
          </c:tx>
          <c:spPr>
            <a:ln w="28575" cap="rnd">
              <a:solidFill>
                <a:schemeClr val="accent2"/>
              </a:solidFill>
              <a:round/>
            </a:ln>
            <a:effectLst/>
          </c:spPr>
          <c:marker>
            <c:symbol val="none"/>
          </c:marker>
          <c:cat>
            <c:numRef>
              <c:f>'Synthèse prévisionnels'!$O$5:$R$5</c:f>
              <c:numCache>
                <c:formatCode>0</c:formatCode>
                <c:ptCount val="4"/>
                <c:pt idx="0">
                  <c:v>2022</c:v>
                </c:pt>
                <c:pt idx="1">
                  <c:v>2023</c:v>
                </c:pt>
                <c:pt idx="2">
                  <c:v>2024</c:v>
                </c:pt>
                <c:pt idx="3">
                  <c:v>2025</c:v>
                </c:pt>
              </c:numCache>
            </c:numRef>
          </c:cat>
          <c:val>
            <c:numRef>
              <c:f>'Synthèse prévisionnels'!$O$9:$R$9</c:f>
              <c:numCache>
                <c:formatCode>_-* #\ ##0\ _€_-;\-* #\ ##0\ _€_-;_-* "-"??\ _€_-;_-@_-</c:formatCode>
                <c:ptCount val="4"/>
                <c:pt idx="0">
                  <c:v>0</c:v>
                </c:pt>
                <c:pt idx="1">
                  <c:v>18071.971922951365</c:v>
                </c:pt>
                <c:pt idx="2">
                  <c:v>22833.333333333343</c:v>
                </c:pt>
                <c:pt idx="3">
                  <c:v>25043.333333333328</c:v>
                </c:pt>
              </c:numCache>
            </c:numRef>
          </c:val>
          <c:smooth val="0"/>
          <c:extLst>
            <c:ext xmlns:c16="http://schemas.microsoft.com/office/drawing/2014/chart" uri="{C3380CC4-5D6E-409C-BE32-E72D297353CC}">
              <c16:uniqueId val="{00000004-AD75-473E-B57E-E04085A2380D}"/>
            </c:ext>
          </c:extLst>
        </c:ser>
        <c:ser>
          <c:idx val="2"/>
          <c:order val="3"/>
          <c:tx>
            <c:strRef>
              <c:f>'Synthèse prévisionnels'!$M$10</c:f>
              <c:strCache>
                <c:ptCount val="1"/>
                <c:pt idx="0">
                  <c:v>Capacité d'Autofinancement (CAF)</c:v>
                </c:pt>
              </c:strCache>
            </c:strRef>
          </c:tx>
          <c:spPr>
            <a:ln w="28575" cap="rnd">
              <a:solidFill>
                <a:schemeClr val="accent3"/>
              </a:solidFill>
              <a:round/>
            </a:ln>
            <a:effectLst/>
          </c:spPr>
          <c:marker>
            <c:symbol val="none"/>
          </c:marker>
          <c:cat>
            <c:numRef>
              <c:f>'Synthèse prévisionnels'!$O$5:$R$5</c:f>
              <c:numCache>
                <c:formatCode>0</c:formatCode>
                <c:ptCount val="4"/>
                <c:pt idx="0">
                  <c:v>2022</c:v>
                </c:pt>
                <c:pt idx="1">
                  <c:v>2023</c:v>
                </c:pt>
                <c:pt idx="2">
                  <c:v>2024</c:v>
                </c:pt>
                <c:pt idx="3">
                  <c:v>2025</c:v>
                </c:pt>
              </c:numCache>
            </c:numRef>
          </c:cat>
          <c:val>
            <c:numRef>
              <c:f>'Synthèse prévisionnels'!$O$10:$R$10</c:f>
              <c:numCache>
                <c:formatCode>_-* #\ ##0\ _€_-;\-* #\ ##0\ _€_-;_-* "-"??\ _€_-;_-@_-</c:formatCode>
                <c:ptCount val="4"/>
                <c:pt idx="0">
                  <c:v>0</c:v>
                </c:pt>
                <c:pt idx="1">
                  <c:v>24238.638589618029</c:v>
                </c:pt>
                <c:pt idx="2">
                  <c:v>30000.000000000007</c:v>
                </c:pt>
                <c:pt idx="3">
                  <c:v>37349.999999999993</c:v>
                </c:pt>
              </c:numCache>
            </c:numRef>
          </c:val>
          <c:smooth val="0"/>
          <c:extLst>
            <c:ext xmlns:c16="http://schemas.microsoft.com/office/drawing/2014/chart" uri="{C3380CC4-5D6E-409C-BE32-E72D297353CC}">
              <c16:uniqueId val="{00000005-AD75-473E-B57E-E04085A2380D}"/>
            </c:ext>
          </c:extLst>
        </c:ser>
        <c:dLbls>
          <c:showLegendKey val="0"/>
          <c:showVal val="0"/>
          <c:showCatName val="0"/>
          <c:showSerName val="0"/>
          <c:showPercent val="0"/>
          <c:showBubbleSize val="0"/>
        </c:dLbls>
        <c:marker val="1"/>
        <c:smooth val="0"/>
        <c:axId val="390684872"/>
        <c:axId val="390686840"/>
      </c:lineChart>
      <c:catAx>
        <c:axId val="3906848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686840"/>
        <c:crosses val="autoZero"/>
        <c:auto val="1"/>
        <c:lblAlgn val="ctr"/>
        <c:lblOffset val="100"/>
        <c:noMultiLvlLbl val="0"/>
      </c:catAx>
      <c:valAx>
        <c:axId val="390686840"/>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684872"/>
        <c:crosses val="autoZero"/>
        <c:crossBetween val="between"/>
      </c:valAx>
      <c:valAx>
        <c:axId val="694540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4547072"/>
        <c:crosses val="max"/>
        <c:crossBetween val="between"/>
      </c:valAx>
      <c:catAx>
        <c:axId val="694547072"/>
        <c:scaling>
          <c:orientation val="minMax"/>
        </c:scaling>
        <c:delete val="1"/>
        <c:axPos val="b"/>
        <c:numFmt formatCode="0" sourceLinked="1"/>
        <c:majorTickMark val="out"/>
        <c:minorTickMark val="none"/>
        <c:tickLblPos val="nextTo"/>
        <c:crossAx val="694540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Feuil1!$C$15</c:f>
              <c:strCache>
                <c:ptCount val="1"/>
                <c:pt idx="0">
                  <c:v>Total encaissement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Feuil1!$D$15:$O$15</c:f>
              <c:numCache>
                <c:formatCode>#,##0</c:formatCode>
                <c:ptCount val="12"/>
                <c:pt idx="0">
                  <c:v>0</c:v>
                </c:pt>
                <c:pt idx="1">
                  <c:v>15000</c:v>
                </c:pt>
                <c:pt idx="2">
                  <c:v>15000</c:v>
                </c:pt>
                <c:pt idx="3">
                  <c:v>15000</c:v>
                </c:pt>
                <c:pt idx="4">
                  <c:v>65000</c:v>
                </c:pt>
                <c:pt idx="5">
                  <c:v>15000</c:v>
                </c:pt>
                <c:pt idx="6">
                  <c:v>45000</c:v>
                </c:pt>
                <c:pt idx="7">
                  <c:v>165000</c:v>
                </c:pt>
                <c:pt idx="8">
                  <c:v>15000</c:v>
                </c:pt>
                <c:pt idx="9">
                  <c:v>0</c:v>
                </c:pt>
                <c:pt idx="10">
                  <c:v>0</c:v>
                </c:pt>
                <c:pt idx="11">
                  <c:v>0</c:v>
                </c:pt>
              </c:numCache>
            </c:numRef>
          </c:val>
          <c:smooth val="0"/>
          <c:extLst>
            <c:ext xmlns:c16="http://schemas.microsoft.com/office/drawing/2014/chart" uri="{C3380CC4-5D6E-409C-BE32-E72D297353CC}">
              <c16:uniqueId val="{00000000-D82E-4C97-B09A-E0E8CCA31FC7}"/>
            </c:ext>
          </c:extLst>
        </c:ser>
        <c:ser>
          <c:idx val="1"/>
          <c:order val="1"/>
          <c:tx>
            <c:strRef>
              <c:f>Feuil1!$C$16</c:f>
              <c:strCache>
                <c:ptCount val="1"/>
                <c:pt idx="0">
                  <c:v>Total décaissement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Feuil1!$D$16:$O$16</c:f>
              <c:numCache>
                <c:formatCode>#,##0</c:formatCode>
                <c:ptCount val="12"/>
                <c:pt idx="0">
                  <c:v>0</c:v>
                </c:pt>
                <c:pt idx="1">
                  <c:v>30000</c:v>
                </c:pt>
                <c:pt idx="2">
                  <c:v>30000</c:v>
                </c:pt>
                <c:pt idx="3">
                  <c:v>30000</c:v>
                </c:pt>
                <c:pt idx="4">
                  <c:v>30000</c:v>
                </c:pt>
                <c:pt idx="5">
                  <c:v>30000</c:v>
                </c:pt>
                <c:pt idx="6">
                  <c:v>30000</c:v>
                </c:pt>
                <c:pt idx="7">
                  <c:v>30000</c:v>
                </c:pt>
                <c:pt idx="8">
                  <c:v>3000</c:v>
                </c:pt>
                <c:pt idx="9">
                  <c:v>0</c:v>
                </c:pt>
                <c:pt idx="10">
                  <c:v>0</c:v>
                </c:pt>
                <c:pt idx="11">
                  <c:v>0</c:v>
                </c:pt>
              </c:numCache>
            </c:numRef>
          </c:val>
          <c:smooth val="0"/>
          <c:extLst>
            <c:ext xmlns:c16="http://schemas.microsoft.com/office/drawing/2014/chart" uri="{C3380CC4-5D6E-409C-BE32-E72D297353CC}">
              <c16:uniqueId val="{00000001-D82E-4C97-B09A-E0E8CCA31FC7}"/>
            </c:ext>
          </c:extLst>
        </c:ser>
        <c:ser>
          <c:idx val="3"/>
          <c:order val="2"/>
          <c:tx>
            <c:strRef>
              <c:f>Feuil1!$C$17</c:f>
              <c:strCache>
                <c:ptCount val="1"/>
                <c:pt idx="0">
                  <c:v>Solde de trésorerie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Feuil1!$D$14:$O$14</c:f>
              <c:numCache>
                <c:formatCode>[$-40C]mmm\-yy;@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Feuil1!$D$17:$O$17</c:f>
              <c:numCache>
                <c:formatCode>#,##0</c:formatCode>
                <c:ptCount val="12"/>
                <c:pt idx="0">
                  <c:v>80635</c:v>
                </c:pt>
                <c:pt idx="1">
                  <c:v>65635</c:v>
                </c:pt>
                <c:pt idx="2">
                  <c:v>50635</c:v>
                </c:pt>
                <c:pt idx="3">
                  <c:v>35635</c:v>
                </c:pt>
                <c:pt idx="4">
                  <c:v>70635</c:v>
                </c:pt>
                <c:pt idx="5">
                  <c:v>55635</c:v>
                </c:pt>
                <c:pt idx="6">
                  <c:v>70635</c:v>
                </c:pt>
                <c:pt idx="7">
                  <c:v>205635</c:v>
                </c:pt>
                <c:pt idx="8">
                  <c:v>217635</c:v>
                </c:pt>
                <c:pt idx="9">
                  <c:v>217635</c:v>
                </c:pt>
                <c:pt idx="10">
                  <c:v>217635</c:v>
                </c:pt>
                <c:pt idx="11">
                  <c:v>217635</c:v>
                </c:pt>
              </c:numCache>
            </c:numRef>
          </c:val>
          <c:smooth val="0"/>
          <c:extLst>
            <c:ext xmlns:c16="http://schemas.microsoft.com/office/drawing/2014/chart" uri="{C3380CC4-5D6E-409C-BE32-E72D297353CC}">
              <c16:uniqueId val="{00000003-D82E-4C97-B09A-E0E8CCA31FC7}"/>
            </c:ext>
          </c:extLst>
        </c:ser>
        <c:dLbls>
          <c:showLegendKey val="0"/>
          <c:showVal val="0"/>
          <c:showCatName val="0"/>
          <c:showSerName val="0"/>
          <c:showPercent val="0"/>
          <c:showBubbleSize val="0"/>
        </c:dLbls>
        <c:marker val="1"/>
        <c:smooth val="0"/>
        <c:axId val="552485608"/>
        <c:axId val="552479048"/>
      </c:lineChart>
      <c:dateAx>
        <c:axId val="552485608"/>
        <c:scaling>
          <c:orientation val="minMax"/>
        </c:scaling>
        <c:delete val="0"/>
        <c:axPos val="b"/>
        <c:numFmt formatCode="[$-40C]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479048"/>
        <c:crosses val="autoZero"/>
        <c:auto val="1"/>
        <c:lblOffset val="100"/>
        <c:baseTimeUnit val="months"/>
      </c:dateAx>
      <c:valAx>
        <c:axId val="55247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485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a:t>
            </a:r>
            <a:r>
              <a:rPr lang="fr-FR" baseline="0"/>
              <a:t> des charges entre fonctionnement et projet</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'Synthèse analyse'!$B$68</c:f>
              <c:strCache>
                <c:ptCount val="1"/>
                <c:pt idx="0">
                  <c:v>Charges d'exploitation fonctionnement</c:v>
                </c:pt>
              </c:strCache>
            </c:strRef>
          </c:tx>
          <c:spPr>
            <a:solidFill>
              <a:schemeClr val="accent1"/>
            </a:solidFill>
            <a:ln>
              <a:noFill/>
            </a:ln>
            <a:effectLst/>
          </c:spPr>
          <c:invertIfNegative val="0"/>
          <c:cat>
            <c:numRef>
              <c:f>'Synthèse analyse'!$D$39:$H$39</c:f>
              <c:numCache>
                <c:formatCode>General</c:formatCode>
                <c:ptCount val="5"/>
                <c:pt idx="0">
                  <c:v>2018</c:v>
                </c:pt>
                <c:pt idx="1">
                  <c:v>2019</c:v>
                </c:pt>
                <c:pt idx="2">
                  <c:v>2020</c:v>
                </c:pt>
                <c:pt idx="3">
                  <c:v>2021</c:v>
                </c:pt>
                <c:pt idx="4">
                  <c:v>2022</c:v>
                </c:pt>
              </c:numCache>
            </c:numRef>
          </c:cat>
          <c:val>
            <c:numRef>
              <c:f>'Synthèse analyse'!$D$68:$H$68</c:f>
              <c:numCache>
                <c:formatCode>_-* #\ ##0\ _€_-;\-* #\ ##0\ _€_-;_-* "-"??\ _€_-;_-@_-</c:formatCode>
                <c:ptCount val="5"/>
                <c:pt idx="0">
                  <c:v>70000</c:v>
                </c:pt>
                <c:pt idx="1">
                  <c:v>70000</c:v>
                </c:pt>
                <c:pt idx="2">
                  <c:v>70000</c:v>
                </c:pt>
                <c:pt idx="3">
                  <c:v>70000</c:v>
                </c:pt>
                <c:pt idx="4">
                  <c:v>70000</c:v>
                </c:pt>
              </c:numCache>
            </c:numRef>
          </c:val>
          <c:extLst>
            <c:ext xmlns:c16="http://schemas.microsoft.com/office/drawing/2014/chart" uri="{C3380CC4-5D6E-409C-BE32-E72D297353CC}">
              <c16:uniqueId val="{00000000-7ADD-459A-995B-28612E6F8D5B}"/>
            </c:ext>
          </c:extLst>
        </c:ser>
        <c:ser>
          <c:idx val="1"/>
          <c:order val="1"/>
          <c:tx>
            <c:strRef>
              <c:f>'Synthèse analyse'!$B$70</c:f>
              <c:strCache>
                <c:ptCount val="1"/>
                <c:pt idx="0">
                  <c:v>Charges d'exploitation projet</c:v>
                </c:pt>
              </c:strCache>
            </c:strRef>
          </c:tx>
          <c:spPr>
            <a:solidFill>
              <a:schemeClr val="accent2"/>
            </a:solidFill>
            <a:ln>
              <a:noFill/>
            </a:ln>
            <a:effectLst/>
          </c:spPr>
          <c:invertIfNegative val="0"/>
          <c:cat>
            <c:numRef>
              <c:f>'Synthèse analyse'!$D$39:$H$39</c:f>
              <c:numCache>
                <c:formatCode>General</c:formatCode>
                <c:ptCount val="5"/>
                <c:pt idx="0">
                  <c:v>2018</c:v>
                </c:pt>
                <c:pt idx="1">
                  <c:v>2019</c:v>
                </c:pt>
                <c:pt idx="2">
                  <c:v>2020</c:v>
                </c:pt>
                <c:pt idx="3">
                  <c:v>2021</c:v>
                </c:pt>
                <c:pt idx="4">
                  <c:v>2022</c:v>
                </c:pt>
              </c:numCache>
            </c:numRef>
          </c:cat>
          <c:val>
            <c:numRef>
              <c:f>'Synthèse analyse'!$D$70:$H$70</c:f>
              <c:numCache>
                <c:formatCode>_-* #\ ##0\ _€_-;\-* #\ ##0\ _€_-;_-* "-"??\ _€_-;_-@_-</c:formatCode>
                <c:ptCount val="5"/>
                <c:pt idx="0">
                  <c:v>60000</c:v>
                </c:pt>
                <c:pt idx="1">
                  <c:v>60000</c:v>
                </c:pt>
                <c:pt idx="2">
                  <c:v>60000</c:v>
                </c:pt>
                <c:pt idx="3">
                  <c:v>60000</c:v>
                </c:pt>
                <c:pt idx="4">
                  <c:v>60000</c:v>
                </c:pt>
              </c:numCache>
            </c:numRef>
          </c:val>
          <c:extLst>
            <c:ext xmlns:c16="http://schemas.microsoft.com/office/drawing/2014/chart" uri="{C3380CC4-5D6E-409C-BE32-E72D297353CC}">
              <c16:uniqueId val="{00000001-7ADD-459A-995B-28612E6F8D5B}"/>
            </c:ext>
          </c:extLst>
        </c:ser>
        <c:dLbls>
          <c:showLegendKey val="0"/>
          <c:showVal val="0"/>
          <c:showCatName val="0"/>
          <c:showSerName val="0"/>
          <c:showPercent val="0"/>
          <c:showBubbleSize val="0"/>
        </c:dLbls>
        <c:gapWidth val="150"/>
        <c:overlap val="100"/>
        <c:axId val="550387840"/>
        <c:axId val="250244400"/>
      </c:barChart>
      <c:catAx>
        <c:axId val="55038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0244400"/>
        <c:crosses val="autoZero"/>
        <c:auto val="1"/>
        <c:lblAlgn val="ctr"/>
        <c:lblOffset val="100"/>
        <c:noMultiLvlLbl val="0"/>
      </c:catAx>
      <c:valAx>
        <c:axId val="250244400"/>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0387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des fonds propres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56"/>
          <c:order val="0"/>
          <c:spPr>
            <a:ln w="28575" cap="rnd">
              <a:solidFill>
                <a:schemeClr val="accent1">
                  <a:lumMod val="50000"/>
                  <a:lumOff val="50000"/>
                </a:schemeClr>
              </a:solidFill>
              <a:round/>
            </a:ln>
            <a:effectLst/>
          </c:spPr>
          <c:marker>
            <c:symbol val="circle"/>
            <c:size val="5"/>
            <c:spPr>
              <a:solidFill>
                <a:schemeClr val="accent1">
                  <a:lumMod val="50000"/>
                  <a:lumOff val="50000"/>
                </a:schemeClr>
              </a:solidFill>
              <a:ln w="9525">
                <a:solidFill>
                  <a:schemeClr val="accent1">
                    <a:lumMod val="50000"/>
                    <a:lumOff val="50000"/>
                  </a:schemeClr>
                </a:solidFill>
              </a:ln>
              <a:effectLst/>
            </c:spPr>
          </c:marker>
          <c:cat>
            <c:numRef>
              <c:f>'Saisie comptes'!$D$20:$H$20</c:f>
              <c:numCache>
                <c:formatCode>General</c:formatCode>
                <c:ptCount val="5"/>
                <c:pt idx="0">
                  <c:v>2018</c:v>
                </c:pt>
                <c:pt idx="1">
                  <c:v>2019</c:v>
                </c:pt>
                <c:pt idx="2">
                  <c:v>2020</c:v>
                </c:pt>
                <c:pt idx="3">
                  <c:v>2021</c:v>
                </c:pt>
                <c:pt idx="4">
                  <c:v>2022</c:v>
                </c:pt>
              </c:numCache>
            </c:numRef>
          </c:cat>
          <c:val>
            <c:numRef>
              <c:f>'Saisie comptes'!$D$27:$H$27</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9C-CF6C-4A48-8B14-5D0412473E7A}"/>
            </c:ext>
          </c:extLst>
        </c:ser>
        <c:dLbls>
          <c:showLegendKey val="0"/>
          <c:showVal val="0"/>
          <c:showCatName val="0"/>
          <c:showSerName val="0"/>
          <c:showPercent val="0"/>
          <c:showBubbleSize val="0"/>
        </c:dLbls>
        <c:marker val="1"/>
        <c:smooth val="0"/>
        <c:axId val="7272000"/>
        <c:axId val="7286880"/>
      </c:lineChart>
      <c:catAx>
        <c:axId val="7272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86880"/>
        <c:crosses val="autoZero"/>
        <c:auto val="1"/>
        <c:lblAlgn val="ctr"/>
        <c:lblOffset val="100"/>
        <c:noMultiLvlLbl val="0"/>
      </c:catAx>
      <c:valAx>
        <c:axId val="7286880"/>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7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Délais moyen de Paiement  des</a:t>
            </a:r>
            <a:r>
              <a:rPr lang="fr-FR" baseline="0"/>
              <a:t> dettes </a:t>
            </a:r>
            <a:r>
              <a:rPr lang="fr-FR"/>
              <a:t>en Nbr de jours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'Synthèse analyse'!$B$17</c:f>
              <c:strCache>
                <c:ptCount val="1"/>
                <c:pt idx="0">
                  <c:v>Délais moyen de de paiement des fournisseurs (hors immobilisations)</c:v>
                </c:pt>
              </c:strCache>
            </c:strRef>
          </c:tx>
          <c:spPr>
            <a:solidFill>
              <a:schemeClr val="accent1"/>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analyse'!$D$17:$H$17</c:f>
              <c:numCache>
                <c:formatCode>0\ "jours"</c:formatCode>
                <c:ptCount val="5"/>
                <c:pt idx="0">
                  <c:v>0</c:v>
                </c:pt>
                <c:pt idx="1">
                  <c:v>0</c:v>
                </c:pt>
                <c:pt idx="2">
                  <c:v>0</c:v>
                </c:pt>
                <c:pt idx="3">
                  <c:v>0</c:v>
                </c:pt>
                <c:pt idx="4">
                  <c:v>0</c:v>
                </c:pt>
              </c:numCache>
            </c:numRef>
          </c:val>
          <c:extLst>
            <c:ext xmlns:c16="http://schemas.microsoft.com/office/drawing/2014/chart" uri="{C3380CC4-5D6E-409C-BE32-E72D297353CC}">
              <c16:uniqueId val="{00000000-744F-4E3D-9AFD-CDAC8C133EB5}"/>
            </c:ext>
          </c:extLst>
        </c:ser>
        <c:ser>
          <c:idx val="1"/>
          <c:order val="1"/>
          <c:tx>
            <c:strRef>
              <c:f>'Synthèse analyse'!$B$18</c:f>
              <c:strCache>
                <c:ptCount val="1"/>
                <c:pt idx="0">
                  <c:v>Délais moyen de paiement des dettes fiscales et sociales</c:v>
                </c:pt>
              </c:strCache>
            </c:strRef>
          </c:tx>
          <c:spPr>
            <a:solidFill>
              <a:schemeClr val="accent2"/>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analyse'!$D$18:$H$18</c:f>
              <c:numCache>
                <c:formatCode>0\ "jours"</c:formatCode>
                <c:ptCount val="5"/>
                <c:pt idx="0">
                  <c:v>0</c:v>
                </c:pt>
                <c:pt idx="1">
                  <c:v>0</c:v>
                </c:pt>
                <c:pt idx="2">
                  <c:v>0</c:v>
                </c:pt>
                <c:pt idx="3">
                  <c:v>0</c:v>
                </c:pt>
                <c:pt idx="4">
                  <c:v>0</c:v>
                </c:pt>
              </c:numCache>
            </c:numRef>
          </c:val>
          <c:extLst>
            <c:ext xmlns:c16="http://schemas.microsoft.com/office/drawing/2014/chart" uri="{C3380CC4-5D6E-409C-BE32-E72D297353CC}">
              <c16:uniqueId val="{00000001-744F-4E3D-9AFD-CDAC8C133EB5}"/>
            </c:ext>
          </c:extLst>
        </c:ser>
        <c:dLbls>
          <c:showLegendKey val="0"/>
          <c:showVal val="0"/>
          <c:showCatName val="0"/>
          <c:showSerName val="0"/>
          <c:showPercent val="0"/>
          <c:showBubbleSize val="0"/>
        </c:dLbls>
        <c:gapWidth val="219"/>
        <c:overlap val="-27"/>
        <c:axId val="1852088736"/>
        <c:axId val="1853477312"/>
      </c:barChart>
      <c:catAx>
        <c:axId val="185208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3477312"/>
        <c:crosses val="autoZero"/>
        <c:auto val="1"/>
        <c:lblAlgn val="ctr"/>
        <c:lblOffset val="100"/>
        <c:noMultiLvlLbl val="0"/>
      </c:catAx>
      <c:valAx>
        <c:axId val="1853477312"/>
        <c:scaling>
          <c:orientation val="minMax"/>
        </c:scaling>
        <c:delete val="0"/>
        <c:axPos val="l"/>
        <c:majorGridlines>
          <c:spPr>
            <a:ln w="9525" cap="flat" cmpd="sng" algn="ctr">
              <a:solidFill>
                <a:schemeClr val="tx1">
                  <a:lumMod val="15000"/>
                  <a:lumOff val="85000"/>
                </a:schemeClr>
              </a:solidFill>
              <a:round/>
            </a:ln>
            <a:effectLst/>
          </c:spPr>
        </c:majorGridlines>
        <c:numFmt formatCode="0\ &quot;jours&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208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Délais moyen de paiement des créances en nbre de jours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'Synthèse analyse'!$B$14</c:f>
              <c:strCache>
                <c:ptCount val="1"/>
                <c:pt idx="0">
                  <c:v>Délais moyen de paiement des clients</c:v>
                </c:pt>
              </c:strCache>
            </c:strRef>
          </c:tx>
          <c:spPr>
            <a:solidFill>
              <a:schemeClr val="accent1"/>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analyse'!$D$14:$H$14</c:f>
              <c:numCache>
                <c:formatCode>0\ "jours"</c:formatCode>
                <c:ptCount val="5"/>
                <c:pt idx="0">
                  <c:v>0</c:v>
                </c:pt>
                <c:pt idx="1">
                  <c:v>0</c:v>
                </c:pt>
                <c:pt idx="2">
                  <c:v>0</c:v>
                </c:pt>
                <c:pt idx="3">
                  <c:v>0</c:v>
                </c:pt>
                <c:pt idx="4">
                  <c:v>0</c:v>
                </c:pt>
              </c:numCache>
            </c:numRef>
          </c:val>
          <c:extLst>
            <c:ext xmlns:c16="http://schemas.microsoft.com/office/drawing/2014/chart" uri="{C3380CC4-5D6E-409C-BE32-E72D297353CC}">
              <c16:uniqueId val="{00000000-E122-4652-B1A9-784D9D958726}"/>
            </c:ext>
          </c:extLst>
        </c:ser>
        <c:ser>
          <c:idx val="1"/>
          <c:order val="1"/>
          <c:tx>
            <c:strRef>
              <c:f>'Synthèse analyse'!$B$15</c:f>
              <c:strCache>
                <c:ptCount val="1"/>
                <c:pt idx="0">
                  <c:v>Délais moyen de paiement des subventions</c:v>
                </c:pt>
              </c:strCache>
            </c:strRef>
          </c:tx>
          <c:spPr>
            <a:solidFill>
              <a:schemeClr val="accent2"/>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analyse'!$D$15:$H$15</c:f>
              <c:numCache>
                <c:formatCode>0\ "jours"</c:formatCode>
                <c:ptCount val="5"/>
                <c:pt idx="0">
                  <c:v>0</c:v>
                </c:pt>
                <c:pt idx="1">
                  <c:v>0</c:v>
                </c:pt>
                <c:pt idx="2">
                  <c:v>0</c:v>
                </c:pt>
                <c:pt idx="3">
                  <c:v>0</c:v>
                </c:pt>
                <c:pt idx="4">
                  <c:v>0</c:v>
                </c:pt>
              </c:numCache>
            </c:numRef>
          </c:val>
          <c:extLst>
            <c:ext xmlns:c16="http://schemas.microsoft.com/office/drawing/2014/chart" uri="{C3380CC4-5D6E-409C-BE32-E72D297353CC}">
              <c16:uniqueId val="{00000001-E122-4652-B1A9-784D9D958726}"/>
            </c:ext>
          </c:extLst>
        </c:ser>
        <c:dLbls>
          <c:showLegendKey val="0"/>
          <c:showVal val="0"/>
          <c:showCatName val="0"/>
          <c:showSerName val="0"/>
          <c:showPercent val="0"/>
          <c:showBubbleSize val="0"/>
        </c:dLbls>
        <c:gapWidth val="219"/>
        <c:overlap val="-27"/>
        <c:axId val="1852009856"/>
        <c:axId val="1253203408"/>
      </c:barChart>
      <c:catAx>
        <c:axId val="185200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3203408"/>
        <c:crosses val="autoZero"/>
        <c:auto val="1"/>
        <c:lblAlgn val="ctr"/>
        <c:lblOffset val="100"/>
        <c:noMultiLvlLbl val="0"/>
      </c:catAx>
      <c:valAx>
        <c:axId val="1253203408"/>
        <c:scaling>
          <c:orientation val="minMax"/>
        </c:scaling>
        <c:delete val="0"/>
        <c:axPos val="l"/>
        <c:majorGridlines>
          <c:spPr>
            <a:ln w="9525" cap="flat" cmpd="sng" algn="ctr">
              <a:solidFill>
                <a:schemeClr val="tx1">
                  <a:lumMod val="15000"/>
                  <a:lumOff val="85000"/>
                </a:schemeClr>
              </a:solidFill>
              <a:round/>
            </a:ln>
            <a:effectLst/>
          </c:spPr>
        </c:majorGridlines>
        <c:numFmt formatCode="0\ &quot;jours&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200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La répartition</a:t>
            </a:r>
            <a:r>
              <a:rPr lang="fr-FR" baseline="0"/>
              <a:t> des ressources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'Synthèse analyse'!$B$51</c:f>
              <c:strCache>
                <c:ptCount val="1"/>
                <c:pt idx="0">
                  <c:v>Chiffre d'affaires</c:v>
                </c:pt>
              </c:strCache>
            </c:strRef>
          </c:tx>
          <c:spPr>
            <a:solidFill>
              <a:schemeClr val="accent1"/>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analyse'!$D$51:$H$51</c:f>
              <c:numCache>
                <c:formatCode>_-* #\ ##0\ _€_-;\-* #\ ##0\ _€_-;_-* "-"??\ _€_-;_-@_-</c:formatCode>
                <c:ptCount val="5"/>
                <c:pt idx="0">
                  <c:v>0</c:v>
                </c:pt>
                <c:pt idx="1">
                  <c:v>0</c:v>
                </c:pt>
                <c:pt idx="2">
                  <c:v>0</c:v>
                </c:pt>
                <c:pt idx="3">
                  <c:v>0</c:v>
                </c:pt>
                <c:pt idx="4">
                  <c:v>0</c:v>
                </c:pt>
              </c:numCache>
            </c:numRef>
          </c:val>
          <c:extLst>
            <c:ext xmlns:c16="http://schemas.microsoft.com/office/drawing/2014/chart" uri="{C3380CC4-5D6E-409C-BE32-E72D297353CC}">
              <c16:uniqueId val="{00000000-8144-4D22-BCF5-7415ECB96654}"/>
            </c:ext>
          </c:extLst>
        </c:ser>
        <c:ser>
          <c:idx val="1"/>
          <c:order val="1"/>
          <c:tx>
            <c:strRef>
              <c:f>'Synthèse analyse'!$B$55</c:f>
              <c:strCache>
                <c:ptCount val="1"/>
                <c:pt idx="0">
                  <c:v>Subventions de fonctionnement</c:v>
                </c:pt>
              </c:strCache>
            </c:strRef>
          </c:tx>
          <c:spPr>
            <a:solidFill>
              <a:schemeClr val="accent2"/>
            </a:solidFill>
            <a:ln>
              <a:noFill/>
            </a:ln>
            <a:effectLst/>
          </c:spPr>
          <c:invertIfNegative val="0"/>
          <c:cat>
            <c:numRef>
              <c:f>'Synthèse analyse'!$D$6:$H$6</c:f>
              <c:numCache>
                <c:formatCode>General</c:formatCode>
                <c:ptCount val="5"/>
                <c:pt idx="0">
                  <c:v>2018</c:v>
                </c:pt>
                <c:pt idx="1">
                  <c:v>2019</c:v>
                </c:pt>
                <c:pt idx="2">
                  <c:v>2020</c:v>
                </c:pt>
                <c:pt idx="3">
                  <c:v>2021</c:v>
                </c:pt>
                <c:pt idx="4">
                  <c:v>2022</c:v>
                </c:pt>
              </c:numCache>
            </c:numRef>
          </c:cat>
          <c:val>
            <c:numRef>
              <c:f>'Synthèse analyse'!$D$55:$H$55</c:f>
              <c:numCache>
                <c:formatCode>_-* #\ ##0\ _€_-;\-* #\ ##0\ _€_-;_-* "-"??\ _€_-;_-@_-</c:formatCode>
                <c:ptCount val="5"/>
                <c:pt idx="0">
                  <c:v>60000</c:v>
                </c:pt>
                <c:pt idx="1">
                  <c:v>60000</c:v>
                </c:pt>
                <c:pt idx="2">
                  <c:v>60000</c:v>
                </c:pt>
                <c:pt idx="3">
                  <c:v>60000</c:v>
                </c:pt>
                <c:pt idx="4">
                  <c:v>60000</c:v>
                </c:pt>
              </c:numCache>
            </c:numRef>
          </c:val>
          <c:extLst>
            <c:ext xmlns:c16="http://schemas.microsoft.com/office/drawing/2014/chart" uri="{C3380CC4-5D6E-409C-BE32-E72D297353CC}">
              <c16:uniqueId val="{00000001-8144-4D22-BCF5-7415ECB96654}"/>
            </c:ext>
          </c:extLst>
        </c:ser>
        <c:ser>
          <c:idx val="2"/>
          <c:order val="2"/>
          <c:tx>
            <c:strRef>
              <c:f>'Synthèse analyse'!$B$57</c:f>
              <c:strCache>
                <c:ptCount val="1"/>
                <c:pt idx="0">
                  <c:v>Subventions projet</c:v>
                </c:pt>
              </c:strCache>
            </c:strRef>
          </c:tx>
          <c:spPr>
            <a:solidFill>
              <a:schemeClr val="accent3"/>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3-8144-4D22-BCF5-7415ECB96654}"/>
              </c:ext>
            </c:extLst>
          </c:dPt>
          <c:cat>
            <c:numRef>
              <c:f>'Synthèse analyse'!$D$6:$H$6</c:f>
              <c:numCache>
                <c:formatCode>General</c:formatCode>
                <c:ptCount val="5"/>
                <c:pt idx="0">
                  <c:v>2018</c:v>
                </c:pt>
                <c:pt idx="1">
                  <c:v>2019</c:v>
                </c:pt>
                <c:pt idx="2">
                  <c:v>2020</c:v>
                </c:pt>
                <c:pt idx="3">
                  <c:v>2021</c:v>
                </c:pt>
                <c:pt idx="4">
                  <c:v>2022</c:v>
                </c:pt>
              </c:numCache>
            </c:numRef>
          </c:cat>
          <c:val>
            <c:numRef>
              <c:f>'Synthèse analyse'!$D$57:$H$57</c:f>
              <c:numCache>
                <c:formatCode>_-* #\ ##0\ _€_-;\-* #\ ##0\ _€_-;_-* "-"??\ _€_-;_-@_-</c:formatCode>
                <c:ptCount val="5"/>
                <c:pt idx="0">
                  <c:v>60000</c:v>
                </c:pt>
                <c:pt idx="1">
                  <c:v>60000</c:v>
                </c:pt>
                <c:pt idx="2">
                  <c:v>60000</c:v>
                </c:pt>
                <c:pt idx="3">
                  <c:v>60000</c:v>
                </c:pt>
                <c:pt idx="4">
                  <c:v>60000</c:v>
                </c:pt>
              </c:numCache>
            </c:numRef>
          </c:val>
          <c:extLst>
            <c:ext xmlns:c16="http://schemas.microsoft.com/office/drawing/2014/chart" uri="{C3380CC4-5D6E-409C-BE32-E72D297353CC}">
              <c16:uniqueId val="{00000004-8144-4D22-BCF5-7415ECB96654}"/>
            </c:ext>
          </c:extLst>
        </c:ser>
        <c:dLbls>
          <c:showLegendKey val="0"/>
          <c:showVal val="0"/>
          <c:showCatName val="0"/>
          <c:showSerName val="0"/>
          <c:showPercent val="0"/>
          <c:showBubbleSize val="0"/>
        </c:dLbls>
        <c:gapWidth val="150"/>
        <c:overlap val="100"/>
        <c:axId val="550387840"/>
        <c:axId val="250244400"/>
      </c:barChart>
      <c:catAx>
        <c:axId val="55038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0244400"/>
        <c:crosses val="autoZero"/>
        <c:auto val="1"/>
        <c:lblAlgn val="ctr"/>
        <c:lblOffset val="100"/>
        <c:noMultiLvlLbl val="0"/>
      </c:catAx>
      <c:valAx>
        <c:axId val="250244400"/>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0387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de la masse salariale dans les charges d'exploitation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'Synthèse analyse'!$B$85</c:f>
              <c:strCache>
                <c:ptCount val="1"/>
                <c:pt idx="0">
                  <c:v>Poids de la masse salariale dans les charges d'exploitation</c:v>
                </c:pt>
              </c:strCache>
            </c:strRef>
          </c:tx>
          <c:spPr>
            <a:ln w="28575" cap="rnd">
              <a:solidFill>
                <a:schemeClr val="accent1"/>
              </a:solidFill>
              <a:round/>
            </a:ln>
            <a:effectLst/>
          </c:spPr>
          <c:marker>
            <c:symbol val="none"/>
          </c:marker>
          <c:cat>
            <c:numRef>
              <c:f>'Synthèse analyse'!$D$39:$H$39</c:f>
              <c:numCache>
                <c:formatCode>General</c:formatCode>
                <c:ptCount val="5"/>
                <c:pt idx="0">
                  <c:v>2018</c:v>
                </c:pt>
                <c:pt idx="1">
                  <c:v>2019</c:v>
                </c:pt>
                <c:pt idx="2">
                  <c:v>2020</c:v>
                </c:pt>
                <c:pt idx="3">
                  <c:v>2021</c:v>
                </c:pt>
                <c:pt idx="4">
                  <c:v>2022</c:v>
                </c:pt>
              </c:numCache>
            </c:numRef>
          </c:cat>
          <c:val>
            <c:numRef>
              <c:f>'Synthèse analyse'!$D$85:$H$85</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F5C7-4909-B548-8D81516E05EA}"/>
            </c:ext>
          </c:extLst>
        </c:ser>
        <c:dLbls>
          <c:showLegendKey val="0"/>
          <c:showVal val="0"/>
          <c:showCatName val="0"/>
          <c:showSerName val="0"/>
          <c:showPercent val="0"/>
          <c:showBubbleSize val="0"/>
        </c:dLbls>
        <c:smooth val="0"/>
        <c:axId val="1913201888"/>
        <c:axId val="1853449472"/>
      </c:lineChart>
      <c:catAx>
        <c:axId val="191320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3449472"/>
        <c:crosses val="autoZero"/>
        <c:auto val="1"/>
        <c:lblAlgn val="ctr"/>
        <c:lblOffset val="100"/>
        <c:noMultiLvlLbl val="0"/>
      </c:catAx>
      <c:valAx>
        <c:axId val="1853449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3201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'Synthèse analyse'!$B$9</c:f>
              <c:strCache>
                <c:ptCount val="1"/>
                <c:pt idx="0">
                  <c:v>Fonds de roulement (FR)</c:v>
                </c:pt>
              </c:strCache>
            </c:strRef>
          </c:tx>
          <c:spPr>
            <a:ln w="28575" cap="rnd">
              <a:solidFill>
                <a:schemeClr val="accent1"/>
              </a:solidFill>
              <a:round/>
            </a:ln>
            <a:effectLst/>
          </c:spPr>
          <c:marker>
            <c:symbol val="none"/>
          </c:marker>
          <c:cat>
            <c:numRef>
              <c:f>'Synthèse analyse'!$D$6:$H$6</c:f>
              <c:numCache>
                <c:formatCode>General</c:formatCode>
                <c:ptCount val="5"/>
                <c:pt idx="0">
                  <c:v>2018</c:v>
                </c:pt>
                <c:pt idx="1">
                  <c:v>2019</c:v>
                </c:pt>
                <c:pt idx="2">
                  <c:v>2020</c:v>
                </c:pt>
                <c:pt idx="3">
                  <c:v>2021</c:v>
                </c:pt>
                <c:pt idx="4">
                  <c:v>2022</c:v>
                </c:pt>
              </c:numCache>
            </c:numRef>
          </c:cat>
          <c:val>
            <c:numRef>
              <c:f>'Synthèse analyse'!$D$9:$H$9</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F0AB-4199-AB8A-D5DD2F45651D}"/>
            </c:ext>
          </c:extLst>
        </c:ser>
        <c:dLbls>
          <c:showLegendKey val="0"/>
          <c:showVal val="0"/>
          <c:showCatName val="0"/>
          <c:showSerName val="0"/>
          <c:showPercent val="0"/>
          <c:showBubbleSize val="0"/>
        </c:dLbls>
        <c:smooth val="0"/>
        <c:axId val="1852075280"/>
        <c:axId val="1912251536"/>
      </c:lineChart>
      <c:catAx>
        <c:axId val="185207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2251536"/>
        <c:crosses val="autoZero"/>
        <c:auto val="1"/>
        <c:lblAlgn val="ctr"/>
        <c:lblOffset val="100"/>
        <c:noMultiLvlLbl val="0"/>
      </c:catAx>
      <c:valAx>
        <c:axId val="1912251536"/>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2075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'Synthèse analyse'!$B$45</c:f>
              <c:strCache>
                <c:ptCount val="1"/>
                <c:pt idx="0">
                  <c:v>Capacité d'Autofinancement (CAF)</c:v>
                </c:pt>
              </c:strCache>
            </c:strRef>
          </c:tx>
          <c:spPr>
            <a:ln w="28575" cap="rnd">
              <a:solidFill>
                <a:schemeClr val="accent1"/>
              </a:solidFill>
              <a:round/>
            </a:ln>
            <a:effectLst/>
          </c:spPr>
          <c:marker>
            <c:symbol val="none"/>
          </c:marker>
          <c:cat>
            <c:numRef>
              <c:f>'Synthèse analyse'!$D$6:$H$6</c:f>
              <c:numCache>
                <c:formatCode>General</c:formatCode>
                <c:ptCount val="5"/>
                <c:pt idx="0">
                  <c:v>2018</c:v>
                </c:pt>
                <c:pt idx="1">
                  <c:v>2019</c:v>
                </c:pt>
                <c:pt idx="2">
                  <c:v>2020</c:v>
                </c:pt>
                <c:pt idx="3">
                  <c:v>2021</c:v>
                </c:pt>
                <c:pt idx="4">
                  <c:v>2022</c:v>
                </c:pt>
              </c:numCache>
            </c:numRef>
          </c:cat>
          <c:val>
            <c:numRef>
              <c:f>'Synthèse analyse'!$D$45:$H$45</c:f>
              <c:numCache>
                <c:formatCode>_-* #\ ##0\ _€_-;\-* #\ ##0\ _€_-;_-* "-"??\ _€_-;_-@_-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2673-4052-932F-13BDE9455834}"/>
            </c:ext>
          </c:extLst>
        </c:ser>
        <c:dLbls>
          <c:showLegendKey val="0"/>
          <c:showVal val="0"/>
          <c:showCatName val="0"/>
          <c:showSerName val="0"/>
          <c:showPercent val="0"/>
          <c:showBubbleSize val="0"/>
        </c:dLbls>
        <c:smooth val="0"/>
        <c:axId val="1852008464"/>
        <c:axId val="1912257776"/>
      </c:lineChart>
      <c:catAx>
        <c:axId val="1852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2257776"/>
        <c:crosses val="autoZero"/>
        <c:auto val="1"/>
        <c:lblAlgn val="ctr"/>
        <c:lblOffset val="100"/>
        <c:noMultiLvlLbl val="0"/>
      </c:catAx>
      <c:valAx>
        <c:axId val="1912257776"/>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5200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9</xdr:col>
      <xdr:colOff>285750</xdr:colOff>
      <xdr:row>8</xdr:row>
      <xdr:rowOff>104775</xdr:rowOff>
    </xdr:from>
    <xdr:to>
      <xdr:col>13</xdr:col>
      <xdr:colOff>828675</xdr:colOff>
      <xdr:row>13</xdr:row>
      <xdr:rowOff>38100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9972675" y="1495425"/>
          <a:ext cx="3495675" cy="61912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Attention ! Les subventions à recevoir sont souvent intégrées dans les "Autres créances" dans les comptes simplifiés. Il faut aller dans les comptes détaillés pour les trouver</a:t>
          </a:r>
        </a:p>
      </xdr:txBody>
    </xdr:sp>
    <xdr:clientData/>
  </xdr:twoCellAnchor>
  <xdr:twoCellAnchor>
    <xdr:from>
      <xdr:col>9</xdr:col>
      <xdr:colOff>257174</xdr:colOff>
      <xdr:row>3</xdr:row>
      <xdr:rowOff>28575</xdr:rowOff>
    </xdr:from>
    <xdr:to>
      <xdr:col>13</xdr:col>
      <xdr:colOff>342900</xdr:colOff>
      <xdr:row>7</xdr:row>
      <xdr:rowOff>9525</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9944099" y="619125"/>
          <a:ext cx="3038476" cy="609600"/>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fr-FR" sz="1100"/>
            <a:t>Saisissez</a:t>
          </a:r>
          <a:r>
            <a:rPr lang="fr-FR" sz="1100" baseline="0"/>
            <a:t> le montant en net qui consiste à soustraire les amortissements des immobilisations. </a:t>
          </a:r>
          <a:endParaRPr lang="fr-FR" sz="1100"/>
        </a:p>
      </xdr:txBody>
    </xdr:sp>
    <xdr:clientData/>
  </xdr:twoCellAnchor>
  <xdr:twoCellAnchor>
    <xdr:from>
      <xdr:col>8</xdr:col>
      <xdr:colOff>9525</xdr:colOff>
      <xdr:row>10</xdr:row>
      <xdr:rowOff>71438</xdr:rowOff>
    </xdr:from>
    <xdr:to>
      <xdr:col>9</xdr:col>
      <xdr:colOff>285750</xdr:colOff>
      <xdr:row>11</xdr:row>
      <xdr:rowOff>104776</xdr:rowOff>
    </xdr:to>
    <xdr:cxnSp macro="">
      <xdr:nvCxnSpPr>
        <xdr:cNvPr id="12" name="Connecteur droit avec flèche 11">
          <a:extLst>
            <a:ext uri="{FF2B5EF4-FFF2-40B4-BE49-F238E27FC236}">
              <a16:creationId xmlns:a16="http://schemas.microsoft.com/office/drawing/2014/main" id="{00000000-0008-0000-0100-00000C000000}"/>
            </a:ext>
          </a:extLst>
        </xdr:cNvPr>
        <xdr:cNvCxnSpPr>
          <a:endCxn id="2" idx="1"/>
        </xdr:cNvCxnSpPr>
      </xdr:nvCxnSpPr>
      <xdr:spPr>
        <a:xfrm flipV="1">
          <a:off x="8677275" y="1804988"/>
          <a:ext cx="1295400" cy="204788"/>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5</xdr:row>
      <xdr:rowOff>28575</xdr:rowOff>
    </xdr:from>
    <xdr:to>
      <xdr:col>8</xdr:col>
      <xdr:colOff>219075</xdr:colOff>
      <xdr:row>7</xdr:row>
      <xdr:rowOff>152400</xdr:rowOff>
    </xdr:to>
    <xdr:sp macro="" textlink="">
      <xdr:nvSpPr>
        <xdr:cNvPr id="27" name="Accolade fermante 26">
          <a:extLst>
            <a:ext uri="{FF2B5EF4-FFF2-40B4-BE49-F238E27FC236}">
              <a16:creationId xmlns:a16="http://schemas.microsoft.com/office/drawing/2014/main" id="{00000000-0008-0000-0100-00001B000000}"/>
            </a:ext>
          </a:extLst>
        </xdr:cNvPr>
        <xdr:cNvSpPr/>
      </xdr:nvSpPr>
      <xdr:spPr>
        <a:xfrm>
          <a:off x="8477250" y="904875"/>
          <a:ext cx="152400" cy="466725"/>
        </a:xfrm>
        <a:prstGeom prst="rightBrace">
          <a:avLst/>
        </a:prstGeom>
        <a:ln>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8</xdr:col>
      <xdr:colOff>276225</xdr:colOff>
      <xdr:row>5</xdr:row>
      <xdr:rowOff>47625</xdr:rowOff>
    </xdr:from>
    <xdr:to>
      <xdr:col>9</xdr:col>
      <xdr:colOff>257174</xdr:colOff>
      <xdr:row>6</xdr:row>
      <xdr:rowOff>85727</xdr:rowOff>
    </xdr:to>
    <xdr:cxnSp macro="">
      <xdr:nvCxnSpPr>
        <xdr:cNvPr id="28" name="Connecteur droit avec flèche 27">
          <a:extLst>
            <a:ext uri="{FF2B5EF4-FFF2-40B4-BE49-F238E27FC236}">
              <a16:creationId xmlns:a16="http://schemas.microsoft.com/office/drawing/2014/main" id="{00000000-0008-0000-0100-00001C000000}"/>
            </a:ext>
          </a:extLst>
        </xdr:cNvPr>
        <xdr:cNvCxnSpPr>
          <a:endCxn id="3" idx="1"/>
        </xdr:cNvCxnSpPr>
      </xdr:nvCxnSpPr>
      <xdr:spPr>
        <a:xfrm flipV="1">
          <a:off x="8943975" y="923925"/>
          <a:ext cx="1000124" cy="20955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247649</xdr:colOff>
      <xdr:row>24</xdr:row>
      <xdr:rowOff>152400</xdr:rowOff>
    </xdr:from>
    <xdr:to>
      <xdr:col>13</xdr:col>
      <xdr:colOff>228599</xdr:colOff>
      <xdr:row>37</xdr:row>
      <xdr:rowOff>28575</xdr:rowOff>
    </xdr:to>
    <xdr:sp macro="" textlink="">
      <xdr:nvSpPr>
        <xdr:cNvPr id="30" name="ZoneTexte 29">
          <a:extLst>
            <a:ext uri="{FF2B5EF4-FFF2-40B4-BE49-F238E27FC236}">
              <a16:creationId xmlns:a16="http://schemas.microsoft.com/office/drawing/2014/main" id="{00000000-0008-0000-0100-00001E000000}"/>
            </a:ext>
          </a:extLst>
        </xdr:cNvPr>
        <xdr:cNvSpPr txBox="1"/>
      </xdr:nvSpPr>
      <xdr:spPr>
        <a:xfrm>
          <a:off x="9934574" y="4114800"/>
          <a:ext cx="2933700" cy="193357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Attention ! Les dettes financières moyen/long terme et les dettes financières court terme sont généralement sur la même ligne dans les comptes simplifiés. Pour connaître les dettes court terme, se référer au renvoi (généralement "dont concours bancaires courant et/ou solde créditeur de banque"), ou alors aux comptes détaillés (numéro de compte commençant par un 1 = dette moyen/long terme ; numéro de compte commençant par un 5 = dette financière court terme)</a:t>
          </a:r>
        </a:p>
      </xdr:txBody>
    </xdr:sp>
    <xdr:clientData/>
  </xdr:twoCellAnchor>
  <xdr:twoCellAnchor>
    <xdr:from>
      <xdr:col>11</xdr:col>
      <xdr:colOff>44450</xdr:colOff>
      <xdr:row>48</xdr:row>
      <xdr:rowOff>6350</xdr:rowOff>
    </xdr:from>
    <xdr:to>
      <xdr:col>13</xdr:col>
      <xdr:colOff>1282700</xdr:colOff>
      <xdr:row>59</xdr:row>
      <xdr:rowOff>0</xdr:rowOff>
    </xdr:to>
    <xdr:sp macro="" textlink="">
      <xdr:nvSpPr>
        <xdr:cNvPr id="37" name="ZoneTexte 36">
          <a:extLst>
            <a:ext uri="{FF2B5EF4-FFF2-40B4-BE49-F238E27FC236}">
              <a16:creationId xmlns:a16="http://schemas.microsoft.com/office/drawing/2014/main" id="{00000000-0008-0000-0100-000025000000}"/>
            </a:ext>
          </a:extLst>
        </xdr:cNvPr>
        <xdr:cNvSpPr txBox="1"/>
      </xdr:nvSpPr>
      <xdr:spPr>
        <a:xfrm>
          <a:off x="13617575" y="7769225"/>
          <a:ext cx="3333750" cy="181292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Attention ! Les aides aux postes peuvent être inscrites soit dans les subventions d'exploitation, soit dans les transfert de charges, soit dans "Autres produits d'exploitation". Il faut aller dans les comptes détaillés pour les trouver.</a:t>
          </a:r>
        </a:p>
      </xdr:txBody>
    </xdr:sp>
    <xdr:clientData/>
  </xdr:twoCellAnchor>
  <xdr:twoCellAnchor>
    <xdr:from>
      <xdr:col>8</xdr:col>
      <xdr:colOff>73025</xdr:colOff>
      <xdr:row>53</xdr:row>
      <xdr:rowOff>65088</xdr:rowOff>
    </xdr:from>
    <xdr:to>
      <xdr:col>11</xdr:col>
      <xdr:colOff>47625</xdr:colOff>
      <xdr:row>53</xdr:row>
      <xdr:rowOff>73025</xdr:rowOff>
    </xdr:to>
    <xdr:cxnSp macro="">
      <xdr:nvCxnSpPr>
        <xdr:cNvPr id="38" name="Connecteur droit avec flèche 37">
          <a:extLst>
            <a:ext uri="{FF2B5EF4-FFF2-40B4-BE49-F238E27FC236}">
              <a16:creationId xmlns:a16="http://schemas.microsoft.com/office/drawing/2014/main" id="{00000000-0008-0000-0100-000026000000}"/>
            </a:ext>
          </a:extLst>
        </xdr:cNvPr>
        <xdr:cNvCxnSpPr>
          <a:endCxn id="37" idx="1"/>
        </xdr:cNvCxnSpPr>
      </xdr:nvCxnSpPr>
      <xdr:spPr>
        <a:xfrm flipV="1">
          <a:off x="11760200" y="8675688"/>
          <a:ext cx="1860550" cy="7937"/>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28</xdr:row>
      <xdr:rowOff>9526</xdr:rowOff>
    </xdr:from>
    <xdr:to>
      <xdr:col>8</xdr:col>
      <xdr:colOff>171450</xdr:colOff>
      <xdr:row>29</xdr:row>
      <xdr:rowOff>142876</xdr:rowOff>
    </xdr:to>
    <xdr:sp macro="" textlink="">
      <xdr:nvSpPr>
        <xdr:cNvPr id="41" name="Accolade fermante 40">
          <a:extLst>
            <a:ext uri="{FF2B5EF4-FFF2-40B4-BE49-F238E27FC236}">
              <a16:creationId xmlns:a16="http://schemas.microsoft.com/office/drawing/2014/main" id="{00000000-0008-0000-0100-000029000000}"/>
            </a:ext>
          </a:extLst>
        </xdr:cNvPr>
        <xdr:cNvSpPr/>
      </xdr:nvSpPr>
      <xdr:spPr>
        <a:xfrm>
          <a:off x="8439150" y="4657726"/>
          <a:ext cx="142875" cy="304800"/>
        </a:xfrm>
        <a:prstGeom prst="rightBrace">
          <a:avLst/>
        </a:prstGeom>
        <a:ln>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8</xdr:col>
      <xdr:colOff>200025</xdr:colOff>
      <xdr:row>28</xdr:row>
      <xdr:rowOff>161926</xdr:rowOff>
    </xdr:from>
    <xdr:to>
      <xdr:col>9</xdr:col>
      <xdr:colOff>247649</xdr:colOff>
      <xdr:row>30</xdr:row>
      <xdr:rowOff>90488</xdr:rowOff>
    </xdr:to>
    <xdr:cxnSp macro="">
      <xdr:nvCxnSpPr>
        <xdr:cNvPr id="42" name="Connecteur droit avec flèche 41">
          <a:extLst>
            <a:ext uri="{FF2B5EF4-FFF2-40B4-BE49-F238E27FC236}">
              <a16:creationId xmlns:a16="http://schemas.microsoft.com/office/drawing/2014/main" id="{00000000-0008-0000-0100-00002A000000}"/>
            </a:ext>
          </a:extLst>
        </xdr:cNvPr>
        <xdr:cNvCxnSpPr>
          <a:endCxn id="30" idx="1"/>
        </xdr:cNvCxnSpPr>
      </xdr:nvCxnSpPr>
      <xdr:spPr>
        <a:xfrm>
          <a:off x="8867775" y="4810126"/>
          <a:ext cx="1066799" cy="27146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20</xdr:row>
      <xdr:rowOff>30480</xdr:rowOff>
    </xdr:from>
    <xdr:to>
      <xdr:col>14</xdr:col>
      <xdr:colOff>578838</xdr:colOff>
      <xdr:row>35</xdr:row>
      <xdr:rowOff>38100</xdr:rowOff>
    </xdr:to>
    <xdr:graphicFrame macro="">
      <xdr:nvGraphicFramePr>
        <xdr:cNvPr id="3" name="Graphique 2">
          <a:extLst>
            <a:ext uri="{FF2B5EF4-FFF2-40B4-BE49-F238E27FC236}">
              <a16:creationId xmlns:a16="http://schemas.microsoft.com/office/drawing/2014/main" id="{10892BD8-DD44-48CE-8EE8-5E78ADBF5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150742</xdr:colOff>
      <xdr:row>52</xdr:row>
      <xdr:rowOff>159139</xdr:rowOff>
    </xdr:from>
    <xdr:to>
      <xdr:col>13</xdr:col>
      <xdr:colOff>772866</xdr:colOff>
      <xdr:row>75</xdr:row>
      <xdr:rowOff>4799</xdr:rowOff>
    </xdr:to>
    <xdr:graphicFrame macro="">
      <xdr:nvGraphicFramePr>
        <xdr:cNvPr id="5" name="Graphique 4">
          <a:extLst>
            <a:ext uri="{FF2B5EF4-FFF2-40B4-BE49-F238E27FC236}">
              <a16:creationId xmlns:a16="http://schemas.microsoft.com/office/drawing/2014/main" id="{E61A12FF-8EB7-49D6-A21B-11A33C888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20</xdr:row>
      <xdr:rowOff>7620</xdr:rowOff>
    </xdr:from>
    <xdr:to>
      <xdr:col>6</xdr:col>
      <xdr:colOff>632460</xdr:colOff>
      <xdr:row>35</xdr:row>
      <xdr:rowOff>34290</xdr:rowOff>
    </xdr:to>
    <xdr:graphicFrame macro="">
      <xdr:nvGraphicFramePr>
        <xdr:cNvPr id="7" name="Graphique 6">
          <a:extLst>
            <a:ext uri="{FF2B5EF4-FFF2-40B4-BE49-F238E27FC236}">
              <a16:creationId xmlns:a16="http://schemas.microsoft.com/office/drawing/2014/main" id="{3CE53228-1066-4D73-B5FD-D8E65E394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83820</xdr:colOff>
      <xdr:row>37</xdr:row>
      <xdr:rowOff>7620</xdr:rowOff>
    </xdr:from>
    <xdr:to>
      <xdr:col>13</xdr:col>
      <xdr:colOff>693420</xdr:colOff>
      <xdr:row>52</xdr:row>
      <xdr:rowOff>7620</xdr:rowOff>
    </xdr:to>
    <xdr:graphicFrame macro="">
      <xdr:nvGraphicFramePr>
        <xdr:cNvPr id="8" name="Graphique 7">
          <a:extLst>
            <a:ext uri="{FF2B5EF4-FFF2-40B4-BE49-F238E27FC236}">
              <a16:creationId xmlns:a16="http://schemas.microsoft.com/office/drawing/2014/main" id="{0E34299A-92AE-43BE-A91A-7DC51D8C89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36</xdr:row>
      <xdr:rowOff>175260</xdr:rowOff>
    </xdr:from>
    <xdr:to>
      <xdr:col>6</xdr:col>
      <xdr:colOff>609600</xdr:colOff>
      <xdr:row>51</xdr:row>
      <xdr:rowOff>175260</xdr:rowOff>
    </xdr:to>
    <xdr:graphicFrame macro="">
      <xdr:nvGraphicFramePr>
        <xdr:cNvPr id="9" name="Graphique 8">
          <a:extLst>
            <a:ext uri="{FF2B5EF4-FFF2-40B4-BE49-F238E27FC236}">
              <a16:creationId xmlns:a16="http://schemas.microsoft.com/office/drawing/2014/main" id="{7E8E19E6-0F37-4C20-9B94-3E16FC000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68580</xdr:colOff>
      <xdr:row>53</xdr:row>
      <xdr:rowOff>38100</xdr:rowOff>
    </xdr:from>
    <xdr:to>
      <xdr:col>6</xdr:col>
      <xdr:colOff>691657</xdr:colOff>
      <xdr:row>74</xdr:row>
      <xdr:rowOff>28223</xdr:rowOff>
    </xdr:to>
    <xdr:graphicFrame macro="">
      <xdr:nvGraphicFramePr>
        <xdr:cNvPr id="10" name="Graphique 9">
          <a:extLst>
            <a:ext uri="{FF2B5EF4-FFF2-40B4-BE49-F238E27FC236}">
              <a16:creationId xmlns:a16="http://schemas.microsoft.com/office/drawing/2014/main" id="{D5BBF8FC-FA2E-48AE-85A1-14743A6DE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274320</xdr:colOff>
      <xdr:row>75</xdr:row>
      <xdr:rowOff>76200</xdr:rowOff>
    </xdr:from>
    <xdr:to>
      <xdr:col>10</xdr:col>
      <xdr:colOff>274320</xdr:colOff>
      <xdr:row>91</xdr:row>
      <xdr:rowOff>167640</xdr:rowOff>
    </xdr:to>
    <xdr:graphicFrame macro="">
      <xdr:nvGraphicFramePr>
        <xdr:cNvPr id="11" name="Graphique 10">
          <a:extLst>
            <a:ext uri="{FF2B5EF4-FFF2-40B4-BE49-F238E27FC236}">
              <a16:creationId xmlns:a16="http://schemas.microsoft.com/office/drawing/2014/main" id="{091CA41D-45A9-48AF-9560-A1288AE09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114300</xdr:colOff>
      <xdr:row>1</xdr:row>
      <xdr:rowOff>121920</xdr:rowOff>
    </xdr:from>
    <xdr:to>
      <xdr:col>6</xdr:col>
      <xdr:colOff>723900</xdr:colOff>
      <xdr:row>16</xdr:row>
      <xdr:rowOff>121920</xdr:rowOff>
    </xdr:to>
    <xdr:graphicFrame macro="">
      <xdr:nvGraphicFramePr>
        <xdr:cNvPr id="12" name="Graphique 11">
          <a:extLst>
            <a:ext uri="{FF2B5EF4-FFF2-40B4-BE49-F238E27FC236}">
              <a16:creationId xmlns:a16="http://schemas.microsoft.com/office/drawing/2014/main" id="{BB8D9A3F-98BD-4A42-BC03-6AD067922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152400</xdr:colOff>
      <xdr:row>1</xdr:row>
      <xdr:rowOff>114300</xdr:rowOff>
    </xdr:from>
    <xdr:to>
      <xdr:col>13</xdr:col>
      <xdr:colOff>762000</xdr:colOff>
      <xdr:row>16</xdr:row>
      <xdr:rowOff>114300</xdr:rowOff>
    </xdr:to>
    <xdr:graphicFrame macro="">
      <xdr:nvGraphicFramePr>
        <xdr:cNvPr id="13" name="Graphique 12">
          <a:extLst>
            <a:ext uri="{FF2B5EF4-FFF2-40B4-BE49-F238E27FC236}">
              <a16:creationId xmlns:a16="http://schemas.microsoft.com/office/drawing/2014/main" id="{64E46B39-0E6F-4012-8DAC-3AB19EE52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178254</xdr:colOff>
      <xdr:row>4</xdr:row>
      <xdr:rowOff>179614</xdr:rowOff>
    </xdr:from>
    <xdr:to>
      <xdr:col>16</xdr:col>
      <xdr:colOff>723900</xdr:colOff>
      <xdr:row>21</xdr:row>
      <xdr:rowOff>69397</xdr:rowOff>
    </xdr:to>
    <xdr:sp macro="" textlink="">
      <xdr:nvSpPr>
        <xdr:cNvPr id="2" name="ZoneTexte 1">
          <a:extLst>
            <a:ext uri="{FF2B5EF4-FFF2-40B4-BE49-F238E27FC236}">
              <a16:creationId xmlns:a16="http://schemas.microsoft.com/office/drawing/2014/main" id="{DC031145-911C-4A6E-8037-C943D24DFDE0}"/>
            </a:ext>
          </a:extLst>
        </xdr:cNvPr>
        <xdr:cNvSpPr txBox="1"/>
      </xdr:nvSpPr>
      <xdr:spPr>
        <a:xfrm>
          <a:off x="13363394" y="822234"/>
          <a:ext cx="3692706" cy="2220233"/>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Pour estimer votre</a:t>
          </a:r>
          <a:r>
            <a:rPr lang="fr-FR" sz="1100" baseline="0"/>
            <a:t> chiffre d'affaires, nous vous proposons un petit outil. </a:t>
          </a:r>
        </a:p>
        <a:p>
          <a:endParaRPr lang="fr-FR" sz="1100" baseline="0"/>
        </a:p>
        <a:p>
          <a:r>
            <a:rPr lang="fr-FR" sz="1100" baseline="0"/>
            <a:t>Le prix unitaire correspond au prix d'un vente. Par exemple, une place de spectacle, une place pour participer à un stage, etc Le volume correspond au nombre de ventes. Par exemple, le nombre de place de spectacle, le nombre de participants à un stage, etc</a:t>
          </a:r>
        </a:p>
        <a:p>
          <a:endParaRPr lang="fr-FR" sz="1100" baseline="0"/>
        </a:p>
        <a:p>
          <a:r>
            <a:rPr lang="fr-FR" sz="1100" baseline="0"/>
            <a:t>Vous pouvez également raisonner en "panier moyen" dans certains cas (vente au grand public, bar, etc). </a:t>
          </a:r>
        </a:p>
        <a:p>
          <a:endParaRPr lang="fr-FR" sz="1100" baseline="0"/>
        </a:p>
        <a:p>
          <a:r>
            <a:rPr lang="fr-FR" sz="1100"/>
            <a:t>Attention! les montants,</a:t>
          </a:r>
          <a:r>
            <a:rPr lang="fr-FR" sz="1100" baseline="0"/>
            <a:t> contrairement au plan de trésorerie, sont hors taxe.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398146</xdr:colOff>
      <xdr:row>7</xdr:row>
      <xdr:rowOff>200025</xdr:rowOff>
    </xdr:from>
    <xdr:to>
      <xdr:col>13</xdr:col>
      <xdr:colOff>733426</xdr:colOff>
      <xdr:row>25</xdr:row>
      <xdr:rowOff>133351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8846821" y="1581150"/>
          <a:ext cx="4240530" cy="2809876"/>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L'idée est d'utiliser cet outil dans le cas où vous manquez de visibilité vos charges par mois/trimestre cet outil peut vous aider à les compléter. L'estimation</a:t>
          </a:r>
          <a:r>
            <a:rPr lang="fr-FR" sz="1100" baseline="0"/>
            <a:t> de vos charges externes est liée à votre budget prévisionnel.</a:t>
          </a:r>
          <a:endParaRPr lang="fr-FR" sz="1100"/>
        </a:p>
        <a:p>
          <a:endParaRPr lang="fr-FR" sz="1100"/>
        </a:p>
        <a:p>
          <a:r>
            <a:rPr lang="fr-FR" sz="1100" baseline="0"/>
            <a:t>&gt; Etape 1 : choisissez un période soit mensuelle, semestrielle, trimestrielle ou annuelle</a:t>
          </a:r>
        </a:p>
        <a:p>
          <a:endParaRPr lang="fr-FR" sz="1100" baseline="0"/>
        </a:p>
        <a:p>
          <a:r>
            <a:rPr lang="fr-FR" sz="1100" baseline="0"/>
            <a:t>&gt; Etape 2 : resaisissez la somme dans votre plan de trésorerie </a:t>
          </a:r>
        </a:p>
        <a:p>
          <a:pPr lvl="1"/>
          <a:r>
            <a:rPr lang="fr-FR" sz="1100" baseline="0"/>
            <a:t>&gt; 12 fois si la répartition est annuelle</a:t>
          </a:r>
        </a:p>
        <a:p>
          <a:pPr lvl="1"/>
          <a:r>
            <a:rPr lang="fr-FR" sz="1100" baseline="0"/>
            <a:t>&gt; 2 fois si la répartition est semestrielle</a:t>
          </a:r>
        </a:p>
        <a:p>
          <a:pPr lvl="1"/>
          <a:r>
            <a:rPr lang="fr-FR" sz="1100" baseline="0"/>
            <a:t>&gt; 3 fois si la répartition est annuelle</a:t>
          </a:r>
        </a:p>
        <a:p>
          <a:pPr lvl="0"/>
          <a:endParaRPr lang="fr-FR" sz="1100" baseline="0"/>
        </a:p>
        <a:p>
          <a:pPr lvl="0"/>
          <a:r>
            <a:rPr lang="fr-FR" sz="1100" baseline="0"/>
            <a:t>Attention! Les sommes inscrites dans votre plan de trésorerie sont en TTC et pas en HT contrairement au budget prévisionnel.</a:t>
          </a:r>
        </a:p>
        <a:p>
          <a:pPr lvl="0"/>
          <a:endParaRPr lang="fr-FR"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27</xdr:row>
      <xdr:rowOff>85728</xdr:rowOff>
    </xdr:from>
    <xdr:to>
      <xdr:col>6</xdr:col>
      <xdr:colOff>1038225</xdr:colOff>
      <xdr:row>32</xdr:row>
      <xdr:rowOff>114300</xdr:rowOff>
    </xdr:to>
    <xdr:cxnSp macro="">
      <xdr:nvCxnSpPr>
        <xdr:cNvPr id="2" name="Connecteur droit avec flèche 1">
          <a:extLst>
            <a:ext uri="{FF2B5EF4-FFF2-40B4-BE49-F238E27FC236}">
              <a16:creationId xmlns:a16="http://schemas.microsoft.com/office/drawing/2014/main" id="{00000000-0008-0000-0500-000002000000}"/>
            </a:ext>
          </a:extLst>
        </xdr:cNvPr>
        <xdr:cNvCxnSpPr>
          <a:endCxn id="4" idx="1"/>
        </xdr:cNvCxnSpPr>
      </xdr:nvCxnSpPr>
      <xdr:spPr>
        <a:xfrm>
          <a:off x="7124700" y="4724403"/>
          <a:ext cx="1019175" cy="88582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1038225</xdr:colOff>
      <xdr:row>28</xdr:row>
      <xdr:rowOff>142875</xdr:rowOff>
    </xdr:from>
    <xdr:to>
      <xdr:col>10</xdr:col>
      <xdr:colOff>209550</xdr:colOff>
      <xdr:row>36</xdr:row>
      <xdr:rowOff>66675</xdr:rowOff>
    </xdr:to>
    <xdr:sp macro="" textlink="">
      <xdr:nvSpPr>
        <xdr:cNvPr id="4" name="ZoneTexte 3">
          <a:extLst>
            <a:ext uri="{FF2B5EF4-FFF2-40B4-BE49-F238E27FC236}">
              <a16:creationId xmlns:a16="http://schemas.microsoft.com/office/drawing/2014/main" id="{00000000-0008-0000-0500-000004000000}"/>
            </a:ext>
          </a:extLst>
        </xdr:cNvPr>
        <xdr:cNvSpPr txBox="1"/>
      </xdr:nvSpPr>
      <xdr:spPr>
        <a:xfrm>
          <a:off x="8143875" y="4953000"/>
          <a:ext cx="3495675" cy="131445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Vous pouvez estimer vos stocks moyens (HT!) en vous appuyant sur l'historique d'activité</a:t>
          </a:r>
          <a:r>
            <a:rPr lang="fr-FR" sz="1100" baseline="0"/>
            <a:t>. Dans le tableau ci dessus, la valeur des stocks représente un certain % historique du chiffre d'affaires. </a:t>
          </a:r>
        </a:p>
        <a:p>
          <a:endParaRPr lang="fr-FR" sz="1100" baseline="0"/>
        </a:p>
        <a:p>
          <a:r>
            <a:rPr lang="fr-FR" sz="1100" baseline="0"/>
            <a:t>En vous appuyant dessus, vous pouvez rentrer un % estimatif ligne 28.</a:t>
          </a:r>
          <a:endParaRPr lang="fr-FR" sz="1100"/>
        </a:p>
      </xdr:txBody>
    </xdr:sp>
    <xdr:clientData/>
  </xdr:twoCellAnchor>
  <xdr:twoCellAnchor>
    <xdr:from>
      <xdr:col>6</xdr:col>
      <xdr:colOff>1047750</xdr:colOff>
      <xdr:row>14</xdr:row>
      <xdr:rowOff>95250</xdr:rowOff>
    </xdr:from>
    <xdr:to>
      <xdr:col>8</xdr:col>
      <xdr:colOff>514350</xdr:colOff>
      <xdr:row>22</xdr:row>
      <xdr:rowOff>28575</xdr:rowOff>
    </xdr:to>
    <xdr:sp macro="" textlink="">
      <xdr:nvSpPr>
        <xdr:cNvPr id="6" name="ZoneTexte 5">
          <a:extLst>
            <a:ext uri="{FF2B5EF4-FFF2-40B4-BE49-F238E27FC236}">
              <a16:creationId xmlns:a16="http://schemas.microsoft.com/office/drawing/2014/main" id="{00000000-0008-0000-0500-000006000000}"/>
            </a:ext>
          </a:extLst>
        </xdr:cNvPr>
        <xdr:cNvSpPr txBox="1"/>
      </xdr:nvSpPr>
      <xdr:spPr>
        <a:xfrm>
          <a:off x="8724900" y="2495550"/>
          <a:ext cx="2066925" cy="129540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 complétant la durée d'amortissement et votre</a:t>
          </a:r>
          <a:r>
            <a:rPr lang="fr-FR" sz="1100" baseline="0"/>
            <a:t> plan d'investissement, vous pourrez calculer vos dotations aux amortissements que vous retrouverez dans le budget prévisionnel.</a:t>
          </a:r>
          <a:endParaRPr lang="fr-FR" sz="1100"/>
        </a:p>
      </xdr:txBody>
    </xdr:sp>
    <xdr:clientData/>
  </xdr:twoCellAnchor>
  <xdr:twoCellAnchor>
    <xdr:from>
      <xdr:col>6</xdr:col>
      <xdr:colOff>1038225</xdr:colOff>
      <xdr:row>37</xdr:row>
      <xdr:rowOff>85725</xdr:rowOff>
    </xdr:from>
    <xdr:to>
      <xdr:col>10</xdr:col>
      <xdr:colOff>209550</xdr:colOff>
      <xdr:row>43</xdr:row>
      <xdr:rowOff>47625</xdr:rowOff>
    </xdr:to>
    <xdr:sp macro="" textlink="">
      <xdr:nvSpPr>
        <xdr:cNvPr id="5" name="ZoneTexte 4">
          <a:extLst>
            <a:ext uri="{FF2B5EF4-FFF2-40B4-BE49-F238E27FC236}">
              <a16:creationId xmlns:a16="http://schemas.microsoft.com/office/drawing/2014/main" id="{00000000-0008-0000-0500-000005000000}"/>
            </a:ext>
          </a:extLst>
        </xdr:cNvPr>
        <xdr:cNvSpPr txBox="1"/>
      </xdr:nvSpPr>
      <xdr:spPr>
        <a:xfrm>
          <a:off x="8143875" y="6457950"/>
          <a:ext cx="3495675" cy="99060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Pour calculer votre BFR prévisionnel, il vous suffit d'entrer</a:t>
          </a:r>
          <a:r>
            <a:rPr lang="fr-FR" sz="1100" baseline="0"/>
            <a:t> le nombre de jours de délais de paiement. Par exemple, si vous estimez que les subventions sont versées 40 jours après la notification, notez 40. L'outil se charge de faire le reste :)</a:t>
          </a:r>
          <a:endParaRPr lang="fr-FR" sz="1100"/>
        </a:p>
      </xdr:txBody>
    </xdr:sp>
    <xdr:clientData/>
  </xdr:twoCellAnchor>
  <xdr:twoCellAnchor>
    <xdr:from>
      <xdr:col>6</xdr:col>
      <xdr:colOff>485775</xdr:colOff>
      <xdr:row>74</xdr:row>
      <xdr:rowOff>57150</xdr:rowOff>
    </xdr:from>
    <xdr:to>
      <xdr:col>9</xdr:col>
      <xdr:colOff>447675</xdr:colOff>
      <xdr:row>78</xdr:row>
      <xdr:rowOff>57150</xdr:rowOff>
    </xdr:to>
    <xdr:sp macro="" textlink="">
      <xdr:nvSpPr>
        <xdr:cNvPr id="7" name="ZoneTexte 6">
          <a:extLst>
            <a:ext uri="{FF2B5EF4-FFF2-40B4-BE49-F238E27FC236}">
              <a16:creationId xmlns:a16="http://schemas.microsoft.com/office/drawing/2014/main" id="{00000000-0008-0000-0500-000007000000}"/>
            </a:ext>
          </a:extLst>
        </xdr:cNvPr>
        <xdr:cNvSpPr txBox="1"/>
      </xdr:nvSpPr>
      <xdr:spPr>
        <a:xfrm>
          <a:off x="7591425" y="12773025"/>
          <a:ext cx="3495675" cy="685800"/>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L'intérêt de compléter cette partie,</a:t>
          </a:r>
          <a:r>
            <a:rPr lang="fr-FR" sz="1100" baseline="0"/>
            <a:t> est de pouvoir simuler l'impact des emprunts selon des conditions données sur le plan de financement.</a:t>
          </a:r>
          <a:endParaRPr lang="fr-FR" sz="1100"/>
        </a:p>
      </xdr:txBody>
    </xdr:sp>
    <xdr:clientData/>
  </xdr:twoCellAnchor>
  <xdr:twoCellAnchor>
    <xdr:from>
      <xdr:col>6</xdr:col>
      <xdr:colOff>504825</xdr:colOff>
      <xdr:row>92</xdr:row>
      <xdr:rowOff>142874</xdr:rowOff>
    </xdr:from>
    <xdr:to>
      <xdr:col>9</xdr:col>
      <xdr:colOff>466725</xdr:colOff>
      <xdr:row>98</xdr:row>
      <xdr:rowOff>114299</xdr:rowOff>
    </xdr:to>
    <xdr:sp macro="" textlink="">
      <xdr:nvSpPr>
        <xdr:cNvPr id="8" name="ZoneTexte 7">
          <a:extLst>
            <a:ext uri="{FF2B5EF4-FFF2-40B4-BE49-F238E27FC236}">
              <a16:creationId xmlns:a16="http://schemas.microsoft.com/office/drawing/2014/main" id="{00000000-0008-0000-0500-000008000000}"/>
            </a:ext>
          </a:extLst>
        </xdr:cNvPr>
        <xdr:cNvSpPr txBox="1"/>
      </xdr:nvSpPr>
      <xdr:spPr>
        <a:xfrm>
          <a:off x="7610475" y="15944849"/>
          <a:ext cx="3495675" cy="1000125"/>
        </a:xfrm>
        <a:prstGeom prst="rect">
          <a:avLst/>
        </a:prstGeom>
        <a:solidFill>
          <a:schemeClr val="lt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Dans</a:t>
          </a:r>
          <a:r>
            <a:rPr lang="fr-FR" sz="1100" baseline="0"/>
            <a:t> cette partie, appuyez vous sur les échéanciers fournis par la prêteur. Attention, dans cette partie, complétez uniquement le capital à rembourser. Les charges financières (intérêts + commisions) se retrouve dans le budget prévisionnel.</a:t>
          </a:r>
          <a:endParaRPr lang="fr-FR" sz="1100"/>
        </a:p>
      </xdr:txBody>
    </xdr:sp>
    <xdr:clientData/>
  </xdr:twoCellAnchor>
  <xdr:twoCellAnchor>
    <xdr:from>
      <xdr:col>7</xdr:col>
      <xdr:colOff>828675</xdr:colOff>
      <xdr:row>12</xdr:row>
      <xdr:rowOff>28575</xdr:rowOff>
    </xdr:from>
    <xdr:to>
      <xdr:col>7</xdr:col>
      <xdr:colOff>1023938</xdr:colOff>
      <xdr:row>14</xdr:row>
      <xdr:rowOff>95250</xdr:rowOff>
    </xdr:to>
    <xdr:cxnSp macro="">
      <xdr:nvCxnSpPr>
        <xdr:cNvPr id="9" name="Connecteur droit avec flèche 8">
          <a:extLst>
            <a:ext uri="{FF2B5EF4-FFF2-40B4-BE49-F238E27FC236}">
              <a16:creationId xmlns:a16="http://schemas.microsoft.com/office/drawing/2014/main" id="{00000000-0008-0000-0500-000009000000}"/>
            </a:ext>
          </a:extLst>
        </xdr:cNvPr>
        <xdr:cNvCxnSpPr>
          <a:endCxn id="6" idx="0"/>
        </xdr:cNvCxnSpPr>
      </xdr:nvCxnSpPr>
      <xdr:spPr>
        <a:xfrm>
          <a:off x="9563100" y="2085975"/>
          <a:ext cx="195263" cy="409575"/>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788127</xdr:colOff>
      <xdr:row>59</xdr:row>
      <xdr:rowOff>123007</xdr:rowOff>
    </xdr:from>
    <xdr:to>
      <xdr:col>5</xdr:col>
      <xdr:colOff>772886</xdr:colOff>
      <xdr:row>84</xdr:row>
      <xdr:rowOff>65313</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11</xdr:row>
      <xdr:rowOff>141514</xdr:rowOff>
    </xdr:from>
    <xdr:to>
      <xdr:col>16</xdr:col>
      <xdr:colOff>304800</xdr:colOff>
      <xdr:row>33</xdr:row>
      <xdr:rowOff>21771</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1569720</xdr:colOff>
      <xdr:row>20</xdr:row>
      <xdr:rowOff>152400</xdr:rowOff>
    </xdr:from>
    <xdr:to>
      <xdr:col>6</xdr:col>
      <xdr:colOff>457200</xdr:colOff>
      <xdr:row>36</xdr:row>
      <xdr:rowOff>129540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on_ai/hubiC/ADMINISTRATION/fonds_solidarite_financiere/comite_evaluation_interne/demandes/Ferme%20Godier%20Avril%202018/Pi&#232;ces%20envoy&#233;es/dossier-89_2018-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Liste déroulante"/>
      <sheetName val="Données générales"/>
      <sheetName val="Bilans passés"/>
      <sheetName val="Comptes de résultat passés"/>
      <sheetName val="Focus subventions"/>
      <sheetName val="Budgets prévisionnels"/>
      <sheetName val="Plan d_investissement"/>
      <sheetName val="Prévisionnel de trésorerie"/>
      <sheetName val="Analyse des bilans passés"/>
      <sheetName val="Analyse des CR passés"/>
      <sheetName val="Analyse des budgets prév_"/>
      <sheetName val="Plan de financement"/>
      <sheetName val="SYNTHESE"/>
      <sheetName val="Comptes de Résultats Passés"/>
      <sheetName val="Analyse des Budgets Prév"/>
    </sheetNames>
    <sheetDataSet>
      <sheetData sheetId="0">
        <row r="7">
          <cell r="C7">
            <v>2015</v>
          </cell>
        </row>
      </sheetData>
      <sheetData sheetId="1">
        <row r="2">
          <cell r="A2" t="str">
            <v>01 - Ain</v>
          </cell>
        </row>
      </sheetData>
      <sheetData sheetId="2">
        <row r="7">
          <cell r="C7">
            <v>2015</v>
          </cell>
        </row>
        <row r="11">
          <cell r="C11">
            <v>0.19600000000000001</v>
          </cell>
        </row>
      </sheetData>
      <sheetData sheetId="3">
        <row r="4">
          <cell r="C4">
            <v>0</v>
          </cell>
          <cell r="E4">
            <v>2015</v>
          </cell>
        </row>
        <row r="5">
          <cell r="C5">
            <v>2013</v>
          </cell>
          <cell r="E5">
            <v>0</v>
          </cell>
          <cell r="F5">
            <v>2014</v>
          </cell>
        </row>
        <row r="6">
          <cell r="C6" t="str">
            <v>Sub fonct.</v>
          </cell>
          <cell r="E6" t="str">
            <v>Total</v>
          </cell>
          <cell r="F6" t="str">
            <v>Sub fonct.</v>
          </cell>
        </row>
        <row r="7">
          <cell r="C7">
            <v>0</v>
          </cell>
          <cell r="E7">
            <v>0</v>
          </cell>
          <cell r="F7">
            <v>0</v>
          </cell>
        </row>
        <row r="8">
          <cell r="C8">
            <v>0</v>
          </cell>
          <cell r="E8">
            <v>0</v>
          </cell>
          <cell r="F8">
            <v>0</v>
          </cell>
        </row>
        <row r="9">
          <cell r="C9">
            <v>0</v>
          </cell>
          <cell r="E9">
            <v>0</v>
          </cell>
          <cell r="F9">
            <v>0</v>
          </cell>
        </row>
        <row r="10">
          <cell r="C10">
            <v>0</v>
          </cell>
          <cell r="E10">
            <v>0</v>
          </cell>
          <cell r="F10">
            <v>0</v>
          </cell>
        </row>
        <row r="11">
          <cell r="C11">
            <v>0</v>
          </cell>
          <cell r="E11">
            <v>0</v>
          </cell>
          <cell r="F11">
            <v>0</v>
          </cell>
        </row>
        <row r="12">
          <cell r="C12">
            <v>0</v>
          </cell>
          <cell r="E12">
            <v>0</v>
          </cell>
          <cell r="F12">
            <v>0</v>
          </cell>
        </row>
        <row r="13">
          <cell r="C13">
            <v>0</v>
          </cell>
          <cell r="E13">
            <v>0</v>
          </cell>
          <cell r="F13">
            <v>0</v>
          </cell>
        </row>
        <row r="14">
          <cell r="C14">
            <v>0</v>
          </cell>
          <cell r="E14">
            <v>0</v>
          </cell>
          <cell r="F14">
            <v>0</v>
          </cell>
        </row>
        <row r="15">
          <cell r="C15">
            <v>0</v>
          </cell>
          <cell r="E15">
            <v>0</v>
          </cell>
          <cell r="F15">
            <v>0</v>
          </cell>
        </row>
        <row r="16">
          <cell r="C16">
            <v>0</v>
          </cell>
          <cell r="E16">
            <v>0</v>
          </cell>
          <cell r="F16">
            <v>0</v>
          </cell>
        </row>
        <row r="17">
          <cell r="C17">
            <v>7395</v>
          </cell>
          <cell r="F17" t="str">
            <v xml:space="preserve">Autres dettes </v>
          </cell>
        </row>
        <row r="19">
          <cell r="F19" t="str">
            <v>Produits constatés d'avance &amp; Fonds dédiés</v>
          </cell>
        </row>
      </sheetData>
      <sheetData sheetId="4">
        <row r="4">
          <cell r="C4">
            <v>2015</v>
          </cell>
        </row>
      </sheetData>
      <sheetData sheetId="5">
        <row r="4">
          <cell r="C4">
            <v>0</v>
          </cell>
        </row>
      </sheetData>
      <sheetData sheetId="6">
        <row r="4">
          <cell r="C4">
            <v>2015</v>
          </cell>
        </row>
      </sheetData>
      <sheetData sheetId="7">
        <row r="6">
          <cell r="C6">
            <v>2013</v>
          </cell>
        </row>
      </sheetData>
      <sheetData sheetId="8">
        <row r="4">
          <cell r="C4">
            <v>0</v>
          </cell>
        </row>
      </sheetData>
      <sheetData sheetId="9">
        <row r="4">
          <cell r="C4">
            <v>2013</v>
          </cell>
        </row>
      </sheetData>
      <sheetData sheetId="10">
        <row r="6">
          <cell r="C6">
            <v>2013</v>
          </cell>
        </row>
      </sheetData>
      <sheetData sheetId="11" refreshError="1"/>
      <sheetData sheetId="12" refreshError="1"/>
      <sheetData sheetId="13" refreshError="1"/>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Aurelien Guinard" id="{59EF7EF1-0172-41CB-9963-A2CC1BF72F9E}" userId="S::aurelien.guinard@le-cac.fr::50bf499f-24f6-4ce4-8e02-aa70218390a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8" dT="2023-06-13T14:00:11.60" personId="{59EF7EF1-0172-41CB-9963-A2CC1BF72F9E}" id="{29FD68FE-91BE-49AF-8C60-E8C0F4FAFE00}">
    <text xml:space="preserve">Prix panier moyen Bar/personne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2"/>
  <sheetViews>
    <sheetView zoomScale="92" zoomScaleNormal="80" workbookViewId="0">
      <selection activeCell="D31" sqref="D31"/>
    </sheetView>
  </sheetViews>
  <sheetFormatPr baseColWidth="10" defaultColWidth="11.453125" defaultRowHeight="15" customHeight="1" x14ac:dyDescent="0.25"/>
  <cols>
    <col min="1" max="1" width="11.453125" style="22"/>
    <col min="2" max="2" width="55.453125" style="22" customWidth="1"/>
    <col min="3" max="3" width="2.08984375" style="660" customWidth="1"/>
    <col min="4" max="4" width="41.6328125" style="22" customWidth="1"/>
    <col min="5" max="5" width="81" style="22" customWidth="1"/>
    <col min="6" max="16384" width="11.453125" style="22"/>
  </cols>
  <sheetData>
    <row r="1" spans="1:5" ht="15" customHeight="1" thickBot="1" x14ac:dyDescent="0.3">
      <c r="B1" s="656"/>
      <c r="C1" s="658"/>
      <c r="D1" s="656"/>
    </row>
    <row r="2" spans="1:5" ht="15" customHeight="1" thickBot="1" x14ac:dyDescent="0.3">
      <c r="B2" s="678" t="s">
        <v>349</v>
      </c>
      <c r="C2" s="659"/>
    </row>
    <row r="3" spans="1:5" ht="7.25" customHeight="1" thickBot="1" x14ac:dyDescent="0.3">
      <c r="C3" s="22"/>
    </row>
    <row r="4" spans="1:5" ht="15" customHeight="1" x14ac:dyDescent="0.25">
      <c r="B4" s="667" t="s">
        <v>0</v>
      </c>
      <c r="C4" s="661"/>
      <c r="D4" s="674"/>
    </row>
    <row r="5" spans="1:5" ht="15" customHeight="1" x14ac:dyDescent="0.25">
      <c r="B5" s="668" t="s">
        <v>1</v>
      </c>
      <c r="C5" s="661"/>
      <c r="D5" s="675"/>
    </row>
    <row r="6" spans="1:5" ht="15" customHeight="1" x14ac:dyDescent="0.25">
      <c r="B6" s="668" t="s">
        <v>2</v>
      </c>
      <c r="C6" s="661"/>
      <c r="D6" s="675" t="s">
        <v>3</v>
      </c>
    </row>
    <row r="7" spans="1:5" ht="15" customHeight="1" x14ac:dyDescent="0.25">
      <c r="B7" s="668" t="s">
        <v>6</v>
      </c>
      <c r="C7" s="661"/>
      <c r="D7" s="675" t="s">
        <v>453</v>
      </c>
    </row>
    <row r="8" spans="1:5" ht="15" customHeight="1" x14ac:dyDescent="0.25">
      <c r="B8" s="668" t="s">
        <v>7</v>
      </c>
      <c r="C8" s="661"/>
      <c r="D8" s="676"/>
    </row>
    <row r="9" spans="1:5" ht="15" customHeight="1" x14ac:dyDescent="0.25">
      <c r="B9" s="668" t="s">
        <v>8</v>
      </c>
      <c r="C9" s="661"/>
      <c r="D9" s="675"/>
    </row>
    <row r="10" spans="1:5" ht="15" customHeight="1" thickBot="1" x14ac:dyDescent="0.3">
      <c r="B10" s="669" t="s">
        <v>9</v>
      </c>
      <c r="C10" s="661"/>
      <c r="D10" s="677"/>
    </row>
    <row r="11" spans="1:5" ht="28.5" customHeight="1" thickBot="1" x14ac:dyDescent="0.3">
      <c r="A11" s="698"/>
      <c r="B11" s="669" t="s">
        <v>452</v>
      </c>
      <c r="C11" s="764"/>
      <c r="D11" s="765" t="e">
        <f>('Saisie comptes'!F55+'Saisie comptes'!G55+'Saisie comptes'!H55+'Saisie comptes'!F54+'Saisie comptes'!G54+'Saisie comptes'!H54)/('Saisie comptes'!F62+'Saisie comptes'!G62+'Saisie comptes'!H62)</f>
        <v>#DIV/0!</v>
      </c>
    </row>
    <row r="12" spans="1:5" ht="15" customHeight="1" thickBot="1" x14ac:dyDescent="0.3">
      <c r="C12" s="22"/>
    </row>
    <row r="13" spans="1:5" ht="15" customHeight="1" thickBot="1" x14ac:dyDescent="0.3">
      <c r="B13" s="678" t="s">
        <v>348</v>
      </c>
    </row>
    <row r="14" spans="1:5" ht="6" customHeight="1" thickBot="1" x14ac:dyDescent="0.3">
      <c r="C14" s="22"/>
    </row>
    <row r="15" spans="1:5" ht="15" customHeight="1" thickBot="1" x14ac:dyDescent="0.3">
      <c r="B15" s="669" t="s">
        <v>211</v>
      </c>
      <c r="C15" s="764"/>
      <c r="D15" s="765"/>
    </row>
    <row r="16" spans="1:5" ht="15" customHeight="1" x14ac:dyDescent="0.25">
      <c r="B16" s="670" t="s">
        <v>212</v>
      </c>
      <c r="D16" s="676"/>
      <c r="E16" s="752"/>
    </row>
    <row r="17" spans="2:5" ht="15" customHeight="1" x14ac:dyDescent="0.25">
      <c r="B17" s="670" t="s">
        <v>213</v>
      </c>
      <c r="D17" s="676"/>
      <c r="E17" s="752"/>
    </row>
    <row r="18" spans="2:5" ht="15" customHeight="1" thickBot="1" x14ac:dyDescent="0.3">
      <c r="B18" s="671" t="s">
        <v>215</v>
      </c>
      <c r="C18" s="663"/>
      <c r="D18" s="664"/>
      <c r="E18" s="22" t="s">
        <v>214</v>
      </c>
    </row>
    <row r="19" spans="2:5" ht="15" customHeight="1" thickBot="1" x14ac:dyDescent="0.3">
      <c r="C19" s="22"/>
    </row>
    <row r="20" spans="2:5" ht="15" customHeight="1" thickBot="1" x14ac:dyDescent="0.3">
      <c r="B20" s="678" t="s">
        <v>350</v>
      </c>
    </row>
    <row r="21" spans="2:5" ht="7.25" customHeight="1" thickBot="1" x14ac:dyDescent="0.3">
      <c r="C21" s="22"/>
    </row>
    <row r="22" spans="2:5" ht="15" customHeight="1" x14ac:dyDescent="0.25">
      <c r="B22" s="667" t="s">
        <v>4</v>
      </c>
      <c r="C22" s="661"/>
      <c r="D22" s="665">
        <v>2022</v>
      </c>
    </row>
    <row r="23" spans="2:5" ht="15" customHeight="1" x14ac:dyDescent="0.25">
      <c r="B23" s="672" t="s">
        <v>5</v>
      </c>
      <c r="C23" s="662"/>
      <c r="D23" s="666">
        <v>44957</v>
      </c>
    </row>
    <row r="24" spans="2:5" ht="38" thickBot="1" x14ac:dyDescent="0.3">
      <c r="B24" s="673" t="s">
        <v>351</v>
      </c>
      <c r="C24" s="663"/>
      <c r="D24" s="751">
        <v>80635</v>
      </c>
      <c r="E24" s="41" t="s">
        <v>209</v>
      </c>
    </row>
    <row r="26" spans="2:5" ht="15" customHeight="1" thickBot="1" x14ac:dyDescent="0.3"/>
    <row r="27" spans="2:5" ht="15" customHeight="1" thickBot="1" x14ac:dyDescent="0.3">
      <c r="B27" s="678" t="s">
        <v>352</v>
      </c>
    </row>
    <row r="28" spans="2:5" ht="9.5" customHeight="1" thickBot="1" x14ac:dyDescent="0.3"/>
    <row r="29" spans="2:5" ht="15" customHeight="1" thickBot="1" x14ac:dyDescent="0.3">
      <c r="B29" s="667" t="s">
        <v>353</v>
      </c>
      <c r="D29" s="679"/>
    </row>
    <row r="30" spans="2:5" ht="15" customHeight="1" thickBot="1" x14ac:dyDescent="0.3">
      <c r="B30" s="673" t="s">
        <v>354</v>
      </c>
      <c r="D30" s="680"/>
    </row>
    <row r="31" spans="2:5" ht="15" customHeight="1" thickBot="1" x14ac:dyDescent="0.3">
      <c r="B31" s="673" t="s">
        <v>455</v>
      </c>
      <c r="D31" s="750"/>
    </row>
    <row r="32" spans="2:5" ht="15" customHeight="1" x14ac:dyDescent="0.25">
      <c r="B32" s="657"/>
    </row>
    <row r="100" spans="2:3" ht="15" customHeight="1" x14ac:dyDescent="0.25">
      <c r="B100" s="748" t="s">
        <v>6</v>
      </c>
      <c r="C100" s="661"/>
    </row>
    <row r="101" spans="2:3" ht="15" customHeight="1" x14ac:dyDescent="0.25">
      <c r="B101" s="749" t="s">
        <v>357</v>
      </c>
    </row>
    <row r="102" spans="2:3" ht="15" customHeight="1" x14ac:dyDescent="0.25">
      <c r="B102" s="749" t="s">
        <v>453</v>
      </c>
    </row>
  </sheetData>
  <conditionalFormatting sqref="D8">
    <cfRule type="expression" dxfId="25" priority="3">
      <formula>IF($D$7="Non fiscalisée",TRUE,FALSE)</formula>
    </cfRule>
  </conditionalFormatting>
  <conditionalFormatting sqref="D16:D18">
    <cfRule type="expression" dxfId="24" priority="1">
      <formula>IF($D$7="Non fiscalisée",TRUE,FALSE)</formula>
    </cfRule>
  </conditionalFormatting>
  <conditionalFormatting sqref="D24">
    <cfRule type="expression" dxfId="23" priority="2">
      <formula>IF($D$7="Non fiscalisée",TRUE,FALSE)</formula>
    </cfRule>
  </conditionalFormatting>
  <dataValidations count="1">
    <dataValidation type="list" showInputMessage="1" showErrorMessage="1" sqref="D7" xr:uid="{28D7B98D-D1C8-41CF-92DC-07D5201643D9}">
      <formula1>$B$101:$B$102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R59"/>
  <sheetViews>
    <sheetView zoomScale="70" zoomScaleNormal="70" workbookViewId="0">
      <selection activeCell="E15" sqref="E15"/>
    </sheetView>
  </sheetViews>
  <sheetFormatPr baseColWidth="10" defaultColWidth="11.453125" defaultRowHeight="12.5" x14ac:dyDescent="0.25"/>
  <cols>
    <col min="1" max="1" width="5.08984375" style="22" customWidth="1"/>
    <col min="2" max="2" width="74.6328125" style="22" customWidth="1"/>
    <col min="3" max="3" width="2" style="22" customWidth="1"/>
    <col min="4" max="4" width="13.6328125" style="22" customWidth="1"/>
    <col min="5" max="7" width="13.6328125" style="22" bestFit="1" customWidth="1"/>
    <col min="8" max="8" width="2.6328125" style="22" customWidth="1"/>
    <col min="9" max="9" width="11.453125" style="22"/>
    <col min="10" max="10" width="10.6328125" style="22" customWidth="1"/>
    <col min="11" max="11" width="11.453125" style="22" customWidth="1"/>
    <col min="12" max="12" width="11.08984375" style="22" customWidth="1"/>
    <col min="13" max="13" width="60.453125" style="22" bestFit="1" customWidth="1"/>
    <col min="14" max="14" width="2.6328125" style="22" customWidth="1"/>
    <col min="15" max="15" width="12.6328125" style="22" bestFit="1" customWidth="1"/>
    <col min="16" max="16384" width="11.453125" style="22"/>
  </cols>
  <sheetData>
    <row r="3" spans="2:18" x14ac:dyDescent="0.25">
      <c r="B3" s="49" t="s">
        <v>236</v>
      </c>
      <c r="C3" s="49"/>
      <c r="D3" s="49"/>
      <c r="E3" s="49"/>
    </row>
    <row r="4" spans="2:18" ht="13" thickBot="1" x14ac:dyDescent="0.3"/>
    <row r="5" spans="2:18" ht="13" thickBot="1" x14ac:dyDescent="0.3">
      <c r="B5" s="146" t="str">
        <f>'Saisie budget prévisionnel'!B65</f>
        <v>Resultat d'exploitation</v>
      </c>
      <c r="D5" s="336">
        <f>'Saisie budget prévisionnel'!D65</f>
        <v>2022</v>
      </c>
      <c r="E5" s="337">
        <f>'Saisie budget prévisionnel'!E65</f>
        <v>2023</v>
      </c>
      <c r="F5" s="337">
        <f>'Saisie budget prévisionnel'!F65</f>
        <v>2024</v>
      </c>
      <c r="G5" s="338">
        <f>'Saisie budget prévisionnel'!G65</f>
        <v>2025</v>
      </c>
      <c r="I5" s="169" t="str">
        <f>'Saisie budget prévisionnel'!D65&amp;"/"&amp;'Saisie budget prévisionnel'!E65</f>
        <v>2022/2023</v>
      </c>
      <c r="J5" s="170" t="str">
        <f>'Saisie budget prévisionnel'!E65&amp;"/"&amp;'Saisie budget prévisionnel'!F65</f>
        <v>2023/2024</v>
      </c>
      <c r="K5" s="171" t="str">
        <f>'Saisie budget prévisionnel'!F65&amp;"/"&amp;'Saisie budget prévisionnel'!G65</f>
        <v>2024/2025</v>
      </c>
      <c r="M5" s="146" t="s">
        <v>52</v>
      </c>
      <c r="O5" s="202">
        <f>D5</f>
        <v>2022</v>
      </c>
      <c r="P5" s="202">
        <f t="shared" ref="P5:R5" si="0">E5</f>
        <v>2023</v>
      </c>
      <c r="Q5" s="202">
        <f t="shared" si="0"/>
        <v>2024</v>
      </c>
      <c r="R5" s="202">
        <f t="shared" si="0"/>
        <v>2025</v>
      </c>
    </row>
    <row r="6" spans="2:18" ht="8.75" customHeight="1" thickBot="1" x14ac:dyDescent="0.3">
      <c r="I6" s="172"/>
      <c r="J6" s="172"/>
      <c r="K6" s="172"/>
    </row>
    <row r="7" spans="2:18" x14ac:dyDescent="0.25">
      <c r="B7" s="59" t="str">
        <f>'Saisie budget prévisionnel'!B67</f>
        <v>Chiffre d'affaires (ventes de prestations et de marchandises)</v>
      </c>
      <c r="D7" s="147">
        <f>'Saisie budget prévisionnel'!D67</f>
        <v>0</v>
      </c>
      <c r="E7" s="148">
        <f>'Saisie budget prévisionnel'!E67</f>
        <v>61088.638589618029</v>
      </c>
      <c r="F7" s="148">
        <f>'Saisie budget prévisionnel'!F67</f>
        <v>44400</v>
      </c>
      <c r="G7" s="200">
        <f>'Saisie budget prévisionnel'!G67</f>
        <v>95500</v>
      </c>
      <c r="I7" s="174" t="e">
        <f>IF(OR(D7="-",D7="",E7="-",E7=""),"",(E7-D7)/D7)</f>
        <v>#DIV/0!</v>
      </c>
      <c r="J7" s="175">
        <f t="shared" ref="J7:K7" si="1">IF(OR(E7="-",E7="",F7="-",F7=""),"",(F7-E7)/E7)</f>
        <v>-0.27318727303335666</v>
      </c>
      <c r="K7" s="176">
        <f t="shared" si="1"/>
        <v>1.1509009009009008</v>
      </c>
      <c r="M7" s="319" t="s">
        <v>317</v>
      </c>
      <c r="O7" s="220" t="e">
        <f>'Synthèse analyse'!H41</f>
        <v>#DIV/0!</v>
      </c>
      <c r="P7" s="221">
        <f>('Saisie budget prévisionnel'!E67+'Saisie budget prévisionnel'!E68+'Saisie budget prévisionnel'!E69+'Saisie budget prévisionnel'!E70+'Saisie budget prévisionnel'!E71+'Saisie budget prévisionnel'!E74-'Saisie budget prévisionnel'!E77-'Saisie budget prévisionnel'!E78-'Saisie budget prévisionnel'!E79-'Saisie budget prévisionnel'!E80-'Saisie budget prévisionnel'!E83-'Saisie budget prévisionnel'!E86)/('Saisie budget prévisionnel'!E76-'Saisie budget prévisionnel'!E72)</f>
        <v>0.33163346666934684</v>
      </c>
      <c r="Q7" s="221">
        <f>('Saisie budget prévisionnel'!F67+'Saisie budget prévisionnel'!F68+'Saisie budget prévisionnel'!F69+'Saisie budget prévisionnel'!F70+'Saisie budget prévisionnel'!F71+'Saisie budget prévisionnel'!F74-'Saisie budget prévisionnel'!F77-'Saisie budget prévisionnel'!F78-'Saisie budget prévisionnel'!F79-'Saisie budget prévisionnel'!F80-'Saisie budget prévisionnel'!F83-'Saisie budget prévisionnel'!F86)/('Saisie budget prévisionnel'!F76-'Saisie budget prévisionnel'!F72)</f>
        <v>0.33707865168539325</v>
      </c>
      <c r="R7" s="222">
        <f>('Saisie budget prévisionnel'!G67+'Saisie budget prévisionnel'!G68+'Saisie budget prévisionnel'!G69+'Saisie budget prévisionnel'!G70+'Saisie budget prévisionnel'!G71+'Saisie budget prévisionnel'!G74-'Saisie budget prévisionnel'!G77-'Saisie budget prévisionnel'!G78-'Saisie budget prévisionnel'!G79-'Saisie budget prévisionnel'!G80-'Saisie budget prévisionnel'!G83-'Saisie budget prévisionnel'!G86)/('Saisie budget prévisionnel'!G76-'Saisie budget prévisionnel'!G72)</f>
        <v>0.35070422535211265</v>
      </c>
    </row>
    <row r="8" spans="2:18" x14ac:dyDescent="0.25">
      <c r="B8" s="33" t="str">
        <f>'Saisie budget prévisionnel'!B68</f>
        <v>Aides aux postes</v>
      </c>
      <c r="D8" s="149">
        <f>'Saisie budget prévisionnel'!D68</f>
        <v>0</v>
      </c>
      <c r="E8" s="130">
        <f>'Saisie budget prévisionnel'!E68</f>
        <v>0</v>
      </c>
      <c r="F8" s="130">
        <f>'Saisie budget prévisionnel'!F68</f>
        <v>20000</v>
      </c>
      <c r="G8" s="153">
        <f>'Saisie budget prévisionnel'!G68</f>
        <v>0</v>
      </c>
      <c r="I8" s="177" t="e">
        <f t="shared" ref="I8:I23" si="2">IF(OR(D8="-",D8="",E8="-",E8=""),"",(E8-D8)/D8)</f>
        <v>#DIV/0!</v>
      </c>
      <c r="J8" s="173" t="e">
        <f t="shared" ref="J8:J23" si="3">IF(OR(E8="-",E8="",F8="-",F8=""),"",(F8-E8)/E8)</f>
        <v>#DIV/0!</v>
      </c>
      <c r="K8" s="178">
        <f t="shared" ref="K8:K23" si="4">IF(OR(F8="-",F8="",G8="-",G8=""),"",(G8-F8)/F8)</f>
        <v>-1</v>
      </c>
      <c r="M8" s="313" t="s">
        <v>318</v>
      </c>
      <c r="O8" s="326" t="e">
        <f>'Synthèse analyse'!H42</f>
        <v>#DIV/0!</v>
      </c>
      <c r="P8" s="327">
        <f>E23/E14</f>
        <v>0.24726102813903586</v>
      </c>
      <c r="Q8" s="327">
        <f t="shared" ref="Q8:R8" si="5">F23/F14</f>
        <v>0.256554307116105</v>
      </c>
      <c r="R8" s="328">
        <f t="shared" si="5"/>
        <v>0.23514866979655707</v>
      </c>
    </row>
    <row r="9" spans="2:18" ht="13" thickBot="1" x14ac:dyDescent="0.3">
      <c r="B9" s="33" t="str">
        <f>'Saisie budget prévisionnel'!B69</f>
        <v>Subventions d’exploitation</v>
      </c>
      <c r="D9" s="149">
        <f>'Saisie budget prévisionnel'!D69</f>
        <v>0</v>
      </c>
      <c r="E9" s="130">
        <f>'Saisie budget prévisionnel'!E69</f>
        <v>1500</v>
      </c>
      <c r="F9" s="130">
        <f>'Saisie budget prévisionnel'!F69</f>
        <v>12000</v>
      </c>
      <c r="G9" s="153">
        <f>'Saisie budget prévisionnel'!G69</f>
        <v>11000</v>
      </c>
      <c r="I9" s="177" t="e">
        <f t="shared" si="2"/>
        <v>#DIV/0!</v>
      </c>
      <c r="J9" s="173">
        <f t="shared" si="3"/>
        <v>7</v>
      </c>
      <c r="K9" s="178">
        <f t="shared" si="4"/>
        <v>-8.3333333333333329E-2</v>
      </c>
      <c r="M9" s="320" t="s">
        <v>49</v>
      </c>
      <c r="O9" s="360">
        <f>'Synthèse analyse'!H43</f>
        <v>0</v>
      </c>
      <c r="P9" s="183">
        <f>E23</f>
        <v>18071.971922951365</v>
      </c>
      <c r="Q9" s="183">
        <f t="shared" ref="Q9:R9" si="6">F23</f>
        <v>22833.333333333343</v>
      </c>
      <c r="R9" s="201">
        <f t="shared" si="6"/>
        <v>25043.333333333328</v>
      </c>
    </row>
    <row r="10" spans="2:18" ht="13" thickBot="1" x14ac:dyDescent="0.3">
      <c r="B10" s="33" t="str">
        <f>'Saisie budget prévisionnel'!B70</f>
        <v>Cotisations</v>
      </c>
      <c r="D10" s="149">
        <f>'Saisie budget prévisionnel'!D70</f>
        <v>0</v>
      </c>
      <c r="E10" s="130">
        <f>'Saisie budget prévisionnel'!E70</f>
        <v>10500</v>
      </c>
      <c r="F10" s="130">
        <f>'Saisie budget prévisionnel'!F70</f>
        <v>9600</v>
      </c>
      <c r="G10" s="153">
        <f>'Saisie budget prévisionnel'!G70</f>
        <v>0</v>
      </c>
      <c r="I10" s="177" t="e">
        <f t="shared" si="2"/>
        <v>#DIV/0!</v>
      </c>
      <c r="J10" s="173">
        <f t="shared" si="3"/>
        <v>-8.5714285714285715E-2</v>
      </c>
      <c r="K10" s="178">
        <f t="shared" si="4"/>
        <v>-1</v>
      </c>
      <c r="M10" s="321" t="s">
        <v>311</v>
      </c>
      <c r="O10" s="361">
        <f>'Synthèse analyse'!H45</f>
        <v>0</v>
      </c>
      <c r="P10" s="324">
        <f>'Saisie budget prévisionnel'!E118</f>
        <v>24238.638589618029</v>
      </c>
      <c r="Q10" s="324">
        <f>'Saisie budget prévisionnel'!F118</f>
        <v>30000.000000000007</v>
      </c>
      <c r="R10" s="325">
        <f>'Saisie budget prévisionnel'!G118</f>
        <v>37349.999999999993</v>
      </c>
    </row>
    <row r="11" spans="2:18" x14ac:dyDescent="0.25">
      <c r="B11" s="33" t="str">
        <f>'Saisie budget prévisionnel'!B71</f>
        <v>Produits issus de la générosité du public (dons, legs et mécénat)</v>
      </c>
      <c r="D11" s="149">
        <f>'Saisie budget prévisionnel'!D71</f>
        <v>0</v>
      </c>
      <c r="E11" s="130">
        <f>'Saisie budget prévisionnel'!E71</f>
        <v>0</v>
      </c>
      <c r="F11" s="130">
        <f>'Saisie budget prévisionnel'!F71</f>
        <v>3000</v>
      </c>
      <c r="G11" s="153">
        <f>'Saisie budget prévisionnel'!G71</f>
        <v>0</v>
      </c>
      <c r="I11" s="177" t="e">
        <f t="shared" si="2"/>
        <v>#DIV/0!</v>
      </c>
      <c r="J11" s="173" t="e">
        <f t="shared" si="3"/>
        <v>#DIV/0!</v>
      </c>
      <c r="K11" s="178">
        <f t="shared" si="4"/>
        <v>-1</v>
      </c>
    </row>
    <row r="12" spans="2:18" x14ac:dyDescent="0.25">
      <c r="B12" s="33" t="str">
        <f>'Saisie budget prévisionnel'!B72</f>
        <v>Transferts de charges et reprises sur provisions</v>
      </c>
      <c r="D12" s="149">
        <f>'Saisie budget prévisionnel'!D72</f>
        <v>0</v>
      </c>
      <c r="E12" s="130">
        <f>'Saisie budget prévisionnel'!E72</f>
        <v>0</v>
      </c>
      <c r="F12" s="130">
        <f>'Saisie budget prévisionnel'!F72</f>
        <v>0</v>
      </c>
      <c r="G12" s="153">
        <f>'Saisie budget prévisionnel'!G72</f>
        <v>0</v>
      </c>
      <c r="I12" s="177" t="e">
        <f t="shared" si="2"/>
        <v>#DIV/0!</v>
      </c>
      <c r="J12" s="173" t="e">
        <f t="shared" si="3"/>
        <v>#DIV/0!</v>
      </c>
      <c r="K12" s="178" t="e">
        <f t="shared" si="4"/>
        <v>#DIV/0!</v>
      </c>
    </row>
    <row r="13" spans="2:18" x14ac:dyDescent="0.25">
      <c r="B13" s="33" t="str">
        <f>'Saisie budget prévisionnel'!B74</f>
        <v>Autres produits</v>
      </c>
      <c r="D13" s="149">
        <f>'Saisie budget prévisionnel'!D76</f>
        <v>0</v>
      </c>
      <c r="E13" s="130">
        <f>'Saisie budget prévisionnel'!E76</f>
        <v>73088.638589618029</v>
      </c>
      <c r="F13" s="130">
        <f>'Saisie budget prévisionnel'!F76</f>
        <v>89000</v>
      </c>
      <c r="G13" s="153">
        <f>'Saisie budget prévisionnel'!G76</f>
        <v>106500</v>
      </c>
      <c r="I13" s="177" t="e">
        <f t="shared" si="2"/>
        <v>#DIV/0!</v>
      </c>
      <c r="J13" s="173">
        <f t="shared" si="3"/>
        <v>0.21769951824827288</v>
      </c>
      <c r="K13" s="178">
        <f t="shared" si="4"/>
        <v>0.19662921348314608</v>
      </c>
    </row>
    <row r="14" spans="2:18" x14ac:dyDescent="0.25">
      <c r="B14" s="27" t="str">
        <f>'Saisie budget prévisionnel'!B76</f>
        <v>Total produits d’exploitation</v>
      </c>
      <c r="D14" s="339">
        <f>'Saisie budget prévisionnel'!D76</f>
        <v>0</v>
      </c>
      <c r="E14" s="340">
        <f>'Saisie budget prévisionnel'!E76</f>
        <v>73088.638589618029</v>
      </c>
      <c r="F14" s="340">
        <f>'Saisie budget prévisionnel'!F76</f>
        <v>89000</v>
      </c>
      <c r="G14" s="341">
        <f>'Saisie budget prévisionnel'!G76</f>
        <v>106500</v>
      </c>
      <c r="I14" s="177" t="e">
        <f t="shared" si="2"/>
        <v>#DIV/0!</v>
      </c>
      <c r="J14" s="173">
        <f t="shared" si="3"/>
        <v>0.21769951824827288</v>
      </c>
      <c r="K14" s="178">
        <f t="shared" si="4"/>
        <v>0.19662921348314608</v>
      </c>
    </row>
    <row r="15" spans="2:18" x14ac:dyDescent="0.25">
      <c r="B15" s="33" t="str">
        <f>'Saisie budget prévisionnel'!B77</f>
        <v>Achats de marchandises et matières premières</v>
      </c>
      <c r="D15" s="149">
        <f>'Saisie budget prévisionnel'!D77</f>
        <v>0</v>
      </c>
      <c r="E15" s="130">
        <f>'Saisie budget prévisionnel'!E77</f>
        <v>0</v>
      </c>
      <c r="F15" s="130">
        <f>'Saisie budget prévisionnel'!F77</f>
        <v>0</v>
      </c>
      <c r="G15" s="153">
        <f>'Saisie budget prévisionnel'!G77</f>
        <v>0</v>
      </c>
      <c r="I15" s="177" t="e">
        <f t="shared" si="2"/>
        <v>#DIV/0!</v>
      </c>
      <c r="J15" s="173" t="e">
        <f t="shared" si="3"/>
        <v>#DIV/0!</v>
      </c>
      <c r="K15" s="178" t="e">
        <f t="shared" si="4"/>
        <v>#DIV/0!</v>
      </c>
    </row>
    <row r="16" spans="2:18" x14ac:dyDescent="0.25">
      <c r="B16" s="33" t="str">
        <f>'Saisie budget prévisionnel'!B78</f>
        <v>Autres achats et charges externes</v>
      </c>
      <c r="D16" s="149">
        <f>'Saisie budget prévisionnel'!D78</f>
        <v>0</v>
      </c>
      <c r="E16" s="130">
        <f>'Saisie budget prévisionnel'!E78</f>
        <v>8850</v>
      </c>
      <c r="F16" s="130">
        <f>'Saisie budget prévisionnel'!F78</f>
        <v>9000</v>
      </c>
      <c r="G16" s="153">
        <f>'Saisie budget prévisionnel'!G78</f>
        <v>9150</v>
      </c>
      <c r="I16" s="177" t="e">
        <f t="shared" si="2"/>
        <v>#DIV/0!</v>
      </c>
      <c r="J16" s="173">
        <f t="shared" si="3"/>
        <v>1.6949152542372881E-2</v>
      </c>
      <c r="K16" s="178">
        <f t="shared" si="4"/>
        <v>1.6666666666666666E-2</v>
      </c>
    </row>
    <row r="17" spans="2:11" x14ac:dyDescent="0.25">
      <c r="B17" s="33" t="str">
        <f>'Saisie budget prévisionnel'!B79</f>
        <v>Impôts et taxes</v>
      </c>
      <c r="D17" s="149">
        <f>'Saisie budget prévisionnel'!D79</f>
        <v>0</v>
      </c>
      <c r="E17" s="130">
        <f>'Saisie budget prévisionnel'!E79</f>
        <v>0</v>
      </c>
      <c r="F17" s="130">
        <f>'Saisie budget prévisionnel'!F79</f>
        <v>0</v>
      </c>
      <c r="G17" s="153">
        <f>'Saisie budget prévisionnel'!G79</f>
        <v>0</v>
      </c>
      <c r="I17" s="177" t="e">
        <f t="shared" si="2"/>
        <v>#DIV/0!</v>
      </c>
      <c r="J17" s="173" t="e">
        <f t="shared" si="3"/>
        <v>#DIV/0!</v>
      </c>
      <c r="K17" s="178" t="e">
        <f t="shared" si="4"/>
        <v>#DIV/0!</v>
      </c>
    </row>
    <row r="18" spans="2:11" x14ac:dyDescent="0.25">
      <c r="B18" s="33" t="str">
        <f>'Saisie budget prévisionnel'!B80</f>
        <v xml:space="preserve">Salaires </v>
      </c>
      <c r="D18" s="149">
        <f>'Saisie budget prévisionnel'!D80</f>
        <v>0</v>
      </c>
      <c r="E18" s="130">
        <f>'Saisie budget prévisionnel'!E80</f>
        <v>40000</v>
      </c>
      <c r="F18" s="130">
        <f>'Saisie budget prévisionnel'!F80</f>
        <v>50000</v>
      </c>
      <c r="G18" s="153">
        <f>'Saisie budget prévisionnel'!G80</f>
        <v>60000</v>
      </c>
      <c r="I18" s="177" t="e">
        <f t="shared" si="2"/>
        <v>#DIV/0!</v>
      </c>
      <c r="J18" s="173">
        <f t="shared" si="3"/>
        <v>0.25</v>
      </c>
      <c r="K18" s="178">
        <f t="shared" si="4"/>
        <v>0.2</v>
      </c>
    </row>
    <row r="19" spans="2:11" x14ac:dyDescent="0.25">
      <c r="B19" s="33" t="str">
        <f>'Saisie budget prévisionnel'!B83</f>
        <v>Cotisations sociales</v>
      </c>
      <c r="D19" s="149">
        <f>'Saisie budget prévisionnel'!D83</f>
        <v>0</v>
      </c>
      <c r="E19" s="130">
        <f>'Saisie budget prévisionnel'!E83</f>
        <v>0</v>
      </c>
      <c r="F19" s="130">
        <f>'Saisie budget prévisionnel'!F83</f>
        <v>0</v>
      </c>
      <c r="G19" s="153">
        <f>'Saisie budget prévisionnel'!G83</f>
        <v>0</v>
      </c>
      <c r="I19" s="177" t="e">
        <f t="shared" si="2"/>
        <v>#DIV/0!</v>
      </c>
      <c r="J19" s="173" t="e">
        <f t="shared" si="3"/>
        <v>#DIV/0!</v>
      </c>
      <c r="K19" s="178" t="e">
        <f t="shared" si="4"/>
        <v>#DIV/0!</v>
      </c>
    </row>
    <row r="20" spans="2:11" x14ac:dyDescent="0.25">
      <c r="B20" s="33" t="str">
        <f>'Saisie budget prévisionnel'!B86</f>
        <v>Autres charges d'exploitation</v>
      </c>
      <c r="D20" s="149">
        <f>'Saisie budget prévisionnel'!D86</f>
        <v>0</v>
      </c>
      <c r="E20" s="130">
        <f>'Saisie budget prévisionnel'!E86</f>
        <v>0</v>
      </c>
      <c r="F20" s="130">
        <f>'Saisie budget prévisionnel'!F86</f>
        <v>0</v>
      </c>
      <c r="G20" s="153">
        <f>'Saisie budget prévisionnel'!G86</f>
        <v>0</v>
      </c>
      <c r="I20" s="177" t="e">
        <f t="shared" si="2"/>
        <v>#DIV/0!</v>
      </c>
      <c r="J20" s="173" t="e">
        <f t="shared" si="3"/>
        <v>#DIV/0!</v>
      </c>
      <c r="K20" s="178" t="e">
        <f t="shared" si="4"/>
        <v>#DIV/0!</v>
      </c>
    </row>
    <row r="21" spans="2:11" x14ac:dyDescent="0.25">
      <c r="B21" s="33" t="str">
        <f>'Saisie budget prévisionnel'!B87</f>
        <v>Dotations aux amortissements et aux provisions</v>
      </c>
      <c r="D21" s="149">
        <f>'Saisie budget prévisionnel'!D87</f>
        <v>0</v>
      </c>
      <c r="E21" s="130">
        <f>'Saisie budget prévisionnel'!E87</f>
        <v>6166.6666666666661</v>
      </c>
      <c r="F21" s="130">
        <f>'Saisie budget prévisionnel'!F87</f>
        <v>7166.6666666666661</v>
      </c>
      <c r="G21" s="153">
        <f>'Saisie budget prévisionnel'!G87</f>
        <v>12306.666666666666</v>
      </c>
      <c r="I21" s="177" t="e">
        <f t="shared" si="2"/>
        <v>#DIV/0!</v>
      </c>
      <c r="J21" s="173">
        <f t="shared" si="3"/>
        <v>0.16216216216216217</v>
      </c>
      <c r="K21" s="178">
        <f t="shared" si="4"/>
        <v>0.71720930232558144</v>
      </c>
    </row>
    <row r="22" spans="2:11" x14ac:dyDescent="0.25">
      <c r="B22" s="27" t="str">
        <f>'Saisie budget prévisionnel'!B92</f>
        <v>Total charges d’exploitation</v>
      </c>
      <c r="D22" s="339">
        <f>'Saisie budget prévisionnel'!D92</f>
        <v>0</v>
      </c>
      <c r="E22" s="340">
        <f>'Saisie budget prévisionnel'!E92</f>
        <v>55016.666666666664</v>
      </c>
      <c r="F22" s="340">
        <f>'Saisie budget prévisionnel'!F92</f>
        <v>66166.666666666657</v>
      </c>
      <c r="G22" s="341">
        <f>'Saisie budget prévisionnel'!G92</f>
        <v>81456.666666666672</v>
      </c>
      <c r="I22" s="177" t="e">
        <f t="shared" si="2"/>
        <v>#DIV/0!</v>
      </c>
      <c r="J22" s="173">
        <f t="shared" si="3"/>
        <v>0.20266585883065724</v>
      </c>
      <c r="K22" s="178">
        <f t="shared" si="4"/>
        <v>0.23108312342569295</v>
      </c>
    </row>
    <row r="23" spans="2:11" ht="13" thickBot="1" x14ac:dyDescent="0.3">
      <c r="B23" s="31" t="str">
        <f>'Saisie budget prévisionnel'!B93</f>
        <v>Résultat d’exploitation</v>
      </c>
      <c r="D23" s="344">
        <f>'Saisie budget prévisionnel'!D93</f>
        <v>0</v>
      </c>
      <c r="E23" s="345">
        <f>'Saisie budget prévisionnel'!E93</f>
        <v>18071.971922951365</v>
      </c>
      <c r="F23" s="345">
        <f>'Saisie budget prévisionnel'!F93</f>
        <v>22833.333333333343</v>
      </c>
      <c r="G23" s="346">
        <f>'Saisie budget prévisionnel'!G93</f>
        <v>25043.333333333328</v>
      </c>
      <c r="I23" s="179" t="e">
        <f t="shared" si="2"/>
        <v>#DIV/0!</v>
      </c>
      <c r="J23" s="180">
        <f t="shared" si="3"/>
        <v>0.26346662282797484</v>
      </c>
      <c r="K23" s="181">
        <f t="shared" si="4"/>
        <v>9.6788321167882538E-2</v>
      </c>
    </row>
    <row r="24" spans="2:11" ht="13" thickBot="1" x14ac:dyDescent="0.3">
      <c r="D24" s="301"/>
      <c r="E24" s="301"/>
      <c r="F24" s="301"/>
      <c r="G24" s="301"/>
      <c r="I24" s="350"/>
      <c r="J24" s="350"/>
      <c r="K24" s="350"/>
    </row>
    <row r="25" spans="2:11" ht="13" thickBot="1" x14ac:dyDescent="0.3">
      <c r="B25" s="146" t="str">
        <f>'Saisie budget prévisionnel'!B95</f>
        <v>Resultat financier &amp; resultat exeptionnel</v>
      </c>
      <c r="D25" s="301"/>
      <c r="E25" s="301"/>
      <c r="F25" s="301"/>
      <c r="G25" s="301"/>
      <c r="I25" s="350"/>
      <c r="J25" s="350"/>
      <c r="K25" s="350"/>
    </row>
    <row r="26" spans="2:11" ht="5" customHeight="1" thickBot="1" x14ac:dyDescent="0.3">
      <c r="D26" s="301"/>
      <c r="E26" s="301"/>
      <c r="F26" s="301"/>
      <c r="G26" s="301"/>
      <c r="I26" s="350"/>
      <c r="J26" s="350"/>
      <c r="K26" s="350"/>
    </row>
    <row r="27" spans="2:11" x14ac:dyDescent="0.25">
      <c r="B27" s="59" t="str">
        <f>'Saisie budget prévisionnel'!B97</f>
        <v>Total produits financiers</v>
      </c>
      <c r="D27" s="147">
        <f>'Saisie budget prévisionnel'!D97</f>
        <v>0</v>
      </c>
      <c r="E27" s="148">
        <f>'Saisie budget prévisionnel'!E97</f>
        <v>0</v>
      </c>
      <c r="F27" s="148">
        <f>'Saisie budget prévisionnel'!F97</f>
        <v>0</v>
      </c>
      <c r="G27" s="200">
        <f>'Saisie budget prévisionnel'!G97</f>
        <v>0</v>
      </c>
      <c r="I27" s="174" t="e">
        <f>IF(OR(D27="",D27="",E27="",E27=""),"",(E27-D27)/D27)</f>
        <v>#DIV/0!</v>
      </c>
      <c r="J27" s="175" t="e">
        <f t="shared" ref="J27" si="7">IF(OR(E27="-",E27="",F27="-",F27=""),"",(F27-E27)/E27)</f>
        <v>#DIV/0!</v>
      </c>
      <c r="K27" s="176" t="e">
        <f t="shared" ref="K27" si="8">IF(OR(F27="-",F27="",G27="-",G27=""),"",(G27-F27)/F27)</f>
        <v>#DIV/0!</v>
      </c>
    </row>
    <row r="28" spans="2:11" x14ac:dyDescent="0.25">
      <c r="B28" s="33" t="str">
        <f>'Saisie budget prévisionnel'!B99</f>
        <v>Total charges financières</v>
      </c>
      <c r="D28" s="149">
        <f>'Saisie budget prévisionnel'!D99</f>
        <v>0</v>
      </c>
      <c r="E28" s="130">
        <f>'Saisie budget prévisionnel'!E99</f>
        <v>0</v>
      </c>
      <c r="F28" s="130">
        <f>'Saisie budget prévisionnel'!F99</f>
        <v>0</v>
      </c>
      <c r="G28" s="153">
        <f>'Saisie budget prévisionnel'!G99</f>
        <v>0</v>
      </c>
      <c r="I28" s="177" t="e">
        <f t="shared" ref="I28:I34" si="9">IF(OR(D28="-",D28="",E28="-",E28=""),"",(E28-D28)/D28)</f>
        <v>#DIV/0!</v>
      </c>
      <c r="J28" s="173" t="e">
        <f t="shared" ref="J28:J34" si="10">IF(OR(E28="-",E28="",F28="-",F28=""),"",(F28-E28)/E28)</f>
        <v>#DIV/0!</v>
      </c>
      <c r="K28" s="178" t="e">
        <f t="shared" ref="K28:K34" si="11">IF(OR(F28="-",F28="",G28="-",G28=""),"",(G28-F28)/F28)</f>
        <v>#DIV/0!</v>
      </c>
    </row>
    <row r="29" spans="2:11" x14ac:dyDescent="0.25">
      <c r="B29" s="27" t="str">
        <f>'Saisie budget prévisionnel'!B101</f>
        <v>Résultat financier</v>
      </c>
      <c r="D29" s="339">
        <f>'Saisie budget prévisionnel'!D101</f>
        <v>0</v>
      </c>
      <c r="E29" s="340">
        <f>'Saisie budget prévisionnel'!E101</f>
        <v>0</v>
      </c>
      <c r="F29" s="340">
        <f>'Saisie budget prévisionnel'!F101</f>
        <v>0</v>
      </c>
      <c r="G29" s="341">
        <f>'Saisie budget prévisionnel'!G101</f>
        <v>0</v>
      </c>
      <c r="I29" s="177" t="e">
        <f t="shared" si="9"/>
        <v>#DIV/0!</v>
      </c>
      <c r="J29" s="173" t="e">
        <f t="shared" si="10"/>
        <v>#DIV/0!</v>
      </c>
      <c r="K29" s="178" t="e">
        <f t="shared" si="11"/>
        <v>#DIV/0!</v>
      </c>
    </row>
    <row r="30" spans="2:11" x14ac:dyDescent="0.25">
      <c r="B30" s="33" t="str">
        <f>'Saisie budget prévisionnel'!B102</f>
        <v>Total produits exceptionnels</v>
      </c>
      <c r="D30" s="149">
        <f>'Saisie budget prévisionnel'!D102</f>
        <v>0</v>
      </c>
      <c r="E30" s="130">
        <f>'Saisie budget prévisionnel'!E102</f>
        <v>0</v>
      </c>
      <c r="F30" s="130">
        <f>'Saisie budget prévisionnel'!F102</f>
        <v>0</v>
      </c>
      <c r="G30" s="153">
        <f>'Saisie budget prévisionnel'!G102</f>
        <v>0</v>
      </c>
      <c r="I30" s="177" t="e">
        <f t="shared" si="9"/>
        <v>#DIV/0!</v>
      </c>
      <c r="J30" s="173" t="e">
        <f t="shared" si="10"/>
        <v>#DIV/0!</v>
      </c>
      <c r="K30" s="178" t="e">
        <f t="shared" si="11"/>
        <v>#DIV/0!</v>
      </c>
    </row>
    <row r="31" spans="2:11" x14ac:dyDescent="0.25">
      <c r="B31" s="33" t="str">
        <f>'Saisie budget prévisionnel'!B107</f>
        <v>Total charges exceptionnelles</v>
      </c>
      <c r="D31" s="149">
        <f>'Saisie budget prévisionnel'!D107</f>
        <v>0</v>
      </c>
      <c r="E31" s="130">
        <f>'Saisie budget prévisionnel'!E107</f>
        <v>0</v>
      </c>
      <c r="F31" s="130">
        <f>'Saisie budget prévisionnel'!F107</f>
        <v>0</v>
      </c>
      <c r="G31" s="153">
        <f>'Saisie budget prévisionnel'!G107</f>
        <v>0</v>
      </c>
      <c r="I31" s="177" t="e">
        <f t="shared" si="9"/>
        <v>#DIV/0!</v>
      </c>
      <c r="J31" s="173" t="e">
        <f t="shared" si="10"/>
        <v>#DIV/0!</v>
      </c>
      <c r="K31" s="178" t="e">
        <f t="shared" si="11"/>
        <v>#DIV/0!</v>
      </c>
    </row>
    <row r="32" spans="2:11" ht="13" thickBot="1" x14ac:dyDescent="0.3">
      <c r="B32" s="31" t="str">
        <f>'Saisie budget prévisionnel'!B110</f>
        <v>Résultat exceptionnel</v>
      </c>
      <c r="D32" s="344">
        <f>'Saisie budget prévisionnel'!D110</f>
        <v>0</v>
      </c>
      <c r="E32" s="345">
        <f>'Saisie budget prévisionnel'!E110</f>
        <v>0</v>
      </c>
      <c r="F32" s="345">
        <f>'Saisie budget prévisionnel'!F110</f>
        <v>0</v>
      </c>
      <c r="G32" s="346">
        <f>'Saisie budget prévisionnel'!G110</f>
        <v>0</v>
      </c>
      <c r="I32" s="179" t="e">
        <f t="shared" si="9"/>
        <v>#DIV/0!</v>
      </c>
      <c r="J32" s="180" t="e">
        <f t="shared" si="10"/>
        <v>#DIV/0!</v>
      </c>
      <c r="K32" s="181" t="e">
        <f t="shared" si="11"/>
        <v>#DIV/0!</v>
      </c>
    </row>
    <row r="33" spans="2:11" ht="13" thickBot="1" x14ac:dyDescent="0.3">
      <c r="D33" s="301"/>
      <c r="E33" s="301"/>
      <c r="F33" s="301"/>
      <c r="G33" s="301"/>
      <c r="I33" s="350"/>
      <c r="J33" s="350"/>
      <c r="K33" s="350"/>
    </row>
    <row r="34" spans="2:11" ht="13" thickBot="1" x14ac:dyDescent="0.3">
      <c r="B34" s="335" t="str">
        <f>'Saisie budget prévisionnel'!B112</f>
        <v>Resultat net</v>
      </c>
      <c r="D34" s="347">
        <f>'Saisie budget prévisionnel'!D116</f>
        <v>0</v>
      </c>
      <c r="E34" s="348">
        <f>'Saisie budget prévisionnel'!E116</f>
        <v>18071.971922951365</v>
      </c>
      <c r="F34" s="348">
        <f>'Saisie budget prévisionnel'!F116</f>
        <v>22833.333333333343</v>
      </c>
      <c r="G34" s="349">
        <f>'Saisie budget prévisionnel'!G116</f>
        <v>25043.333333333328</v>
      </c>
      <c r="I34" s="351" t="e">
        <f t="shared" si="9"/>
        <v>#DIV/0!</v>
      </c>
      <c r="J34" s="352">
        <f t="shared" si="10"/>
        <v>0.26346662282797484</v>
      </c>
      <c r="K34" s="353">
        <f t="shared" si="11"/>
        <v>9.6788321167882538E-2</v>
      </c>
    </row>
    <row r="36" spans="2:11" x14ac:dyDescent="0.25">
      <c r="B36" s="49" t="s">
        <v>294</v>
      </c>
      <c r="C36" s="49"/>
      <c r="D36" s="49"/>
      <c r="E36" s="49"/>
      <c r="F36" s="49"/>
    </row>
    <row r="37" spans="2:11" ht="13" thickBot="1" x14ac:dyDescent="0.3"/>
    <row r="38" spans="2:11" ht="13" thickBot="1" x14ac:dyDescent="0.3">
      <c r="D38" s="202">
        <f>'Saisie plan de financement'!D104</f>
        <v>2023</v>
      </c>
      <c r="E38" s="203">
        <f>'Saisie plan de financement'!E104</f>
        <v>2024</v>
      </c>
      <c r="F38" s="204">
        <f>'Saisie plan de financement'!F104</f>
        <v>2025</v>
      </c>
    </row>
    <row r="39" spans="2:11" ht="13" thickBot="1" x14ac:dyDescent="0.3">
      <c r="D39" s="301"/>
    </row>
    <row r="40" spans="2:11" x14ac:dyDescent="0.25">
      <c r="B40" s="247" t="str">
        <f>'Saisie plan de financement'!B106</f>
        <v>Investissements</v>
      </c>
      <c r="C40" s="301"/>
      <c r="D40" s="250">
        <f>'Saisie plan de financement'!D106</f>
        <v>28500</v>
      </c>
      <c r="E40" s="251">
        <f>'Saisie plan de financement'!E106</f>
        <v>5000</v>
      </c>
      <c r="F40" s="252">
        <f>'Saisie plan de financement'!F106</f>
        <v>48200</v>
      </c>
    </row>
    <row r="41" spans="2:11" x14ac:dyDescent="0.25">
      <c r="B41" s="248" t="str">
        <f>'Saisie plan de financement'!B107</f>
        <v>Remboursement dette MLT</v>
      </c>
      <c r="C41" s="301"/>
      <c r="D41" s="253">
        <f>'Saisie plan de financement'!D107</f>
        <v>20393.077197744668</v>
      </c>
      <c r="E41" s="254">
        <f>'Saisie plan de financement'!E107</f>
        <v>122481.13948694039</v>
      </c>
      <c r="F41" s="255">
        <f>'Saisie plan de financement'!F107</f>
        <v>123792.62714515046</v>
      </c>
    </row>
    <row r="42" spans="2:11" x14ac:dyDescent="0.25">
      <c r="B42" s="248" t="str">
        <f>'Saisie plan de financement'!B108</f>
        <v>Avance TVA</v>
      </c>
      <c r="C42" s="301"/>
      <c r="D42" s="292">
        <f>'Saisie plan de financement'!D108</f>
        <v>0</v>
      </c>
      <c r="E42" s="293">
        <f>'Saisie plan de financement'!E108</f>
        <v>0</v>
      </c>
      <c r="F42" s="294">
        <f>'Saisie plan de financement'!F108</f>
        <v>0</v>
      </c>
    </row>
    <row r="43" spans="2:11" ht="13" thickBot="1" x14ac:dyDescent="0.3">
      <c r="B43" s="33" t="str">
        <f>'Saisie plan de financement'!B109</f>
        <v>Variation du BFR</v>
      </c>
      <c r="C43" s="301"/>
      <c r="D43" s="256" t="e">
        <f>'Saisie plan de financement'!D109</f>
        <v>#DIV/0!</v>
      </c>
      <c r="E43" s="257" t="e">
        <f>'Saisie plan de financement'!E109</f>
        <v>#DIV/0!</v>
      </c>
      <c r="F43" s="258" t="e">
        <f>'Saisie plan de financement'!F109</f>
        <v>#DIV/0!</v>
      </c>
    </row>
    <row r="44" spans="2:11" ht="13" thickBot="1" x14ac:dyDescent="0.3">
      <c r="B44" s="20" t="str">
        <f>'Saisie plan de financement'!B110</f>
        <v>TOTAL EMPLOIS</v>
      </c>
      <c r="C44" s="301"/>
      <c r="D44" s="259" t="e">
        <f>'Saisie plan de financement'!D110</f>
        <v>#DIV/0!</v>
      </c>
      <c r="E44" s="260" t="e">
        <f>'Saisie plan de financement'!E110</f>
        <v>#DIV/0!</v>
      </c>
      <c r="F44" s="261" t="e">
        <f>'Saisie plan de financement'!F110</f>
        <v>#DIV/0!</v>
      </c>
    </row>
    <row r="45" spans="2:11" ht="13" thickBot="1" x14ac:dyDescent="0.3">
      <c r="C45" s="301"/>
      <c r="D45" s="229"/>
      <c r="E45" s="230"/>
      <c r="F45" s="230"/>
    </row>
    <row r="46" spans="2:11" x14ac:dyDescent="0.25">
      <c r="B46" s="247" t="str">
        <f>'Saisie plan de financement'!B112</f>
        <v>Subventions d’investissement</v>
      </c>
      <c r="C46" s="301"/>
      <c r="D46" s="305">
        <f>'Saisie plan de financement'!D112</f>
        <v>0</v>
      </c>
      <c r="E46" s="275">
        <f>'Saisie plan de financement'!E112</f>
        <v>0</v>
      </c>
      <c r="F46" s="276">
        <f>'Saisie plan de financement'!F112</f>
        <v>0</v>
      </c>
    </row>
    <row r="47" spans="2:11" x14ac:dyDescent="0.25">
      <c r="B47" s="248" t="str">
        <f>'Saisie plan de financement'!B113</f>
        <v>Apports en fonds propres sans droit de reprise</v>
      </c>
      <c r="C47" s="301"/>
      <c r="D47" s="306">
        <f>'Saisie plan de financement'!D113</f>
        <v>0</v>
      </c>
      <c r="E47" s="307">
        <f>'Saisie plan de financement'!E113</f>
        <v>0</v>
      </c>
      <c r="F47" s="308">
        <f>'Saisie plan de financement'!F113</f>
        <v>0</v>
      </c>
    </row>
    <row r="48" spans="2:11" x14ac:dyDescent="0.25">
      <c r="B48" s="248" t="str">
        <f>'Saisie plan de financement'!B114</f>
        <v>Apports en fonds propres avec droit de reprise</v>
      </c>
      <c r="C48" s="301"/>
      <c r="D48" s="289">
        <f>'Saisie plan de financement'!D114</f>
        <v>0</v>
      </c>
      <c r="E48" s="290">
        <f>'Saisie plan de financement'!E114</f>
        <v>9546.126197474061</v>
      </c>
      <c r="F48" s="291">
        <f>'Saisie plan de financement'!F114</f>
        <v>10453.873802525939</v>
      </c>
    </row>
    <row r="49" spans="2:6" x14ac:dyDescent="0.25">
      <c r="B49" s="248" t="str">
        <f>'Saisie plan de financement'!B115</f>
        <v>Emprunts bancaires et assimilés</v>
      </c>
      <c r="C49" s="301"/>
      <c r="D49" s="289">
        <f>'Saisie plan de financement'!D115</f>
        <v>8393.0771977446675</v>
      </c>
      <c r="E49" s="290">
        <f>'Saisie plan de financement'!E115</f>
        <v>100935.01328946633</v>
      </c>
      <c r="F49" s="291">
        <f>'Saisie plan de financement'!F115</f>
        <v>101338.75334262452</v>
      </c>
    </row>
    <row r="50" spans="2:6" x14ac:dyDescent="0.25">
      <c r="B50" s="248" t="str">
        <f>'Saisie plan de financement'!B116</f>
        <v>Autres emprunts</v>
      </c>
      <c r="C50" s="301"/>
      <c r="D50" s="309">
        <f>'Saisie plan de financement'!D116</f>
        <v>0</v>
      </c>
      <c r="E50" s="310">
        <f>'Saisie plan de financement'!E116</f>
        <v>0</v>
      </c>
      <c r="F50" s="311">
        <f>'Saisie plan de financement'!F116</f>
        <v>0</v>
      </c>
    </row>
    <row r="51" spans="2:6" x14ac:dyDescent="0.25">
      <c r="B51" s="248" t="str">
        <f>'Saisie plan de financement'!B117</f>
        <v>Capacité d’autofinancement</v>
      </c>
      <c r="C51" s="301"/>
      <c r="D51" s="284">
        <f>'Saisie plan de financement'!D117</f>
        <v>24238.638589618029</v>
      </c>
      <c r="E51" s="285">
        <f>'Saisie plan de financement'!E117</f>
        <v>30000.000000000007</v>
      </c>
      <c r="F51" s="286">
        <f>'Saisie plan de financement'!F117</f>
        <v>37349.999999999993</v>
      </c>
    </row>
    <row r="52" spans="2:6" ht="13" thickBot="1" x14ac:dyDescent="0.3">
      <c r="B52" s="248" t="str">
        <f>'Saisie plan de financement'!B118</f>
        <v>Autres</v>
      </c>
      <c r="C52" s="301"/>
      <c r="D52" s="312">
        <f>'Saisie plan de financement'!D118</f>
        <v>0</v>
      </c>
      <c r="E52" s="307">
        <f>'Saisie plan de financement'!E118</f>
        <v>0</v>
      </c>
      <c r="F52" s="308">
        <f>'Saisie plan de financement'!F118</f>
        <v>0</v>
      </c>
    </row>
    <row r="53" spans="2:6" ht="13" thickBot="1" x14ac:dyDescent="0.3">
      <c r="B53" s="20" t="str">
        <f>'Saisie plan de financement'!B119</f>
        <v>TOTAL RESSOURCES</v>
      </c>
      <c r="C53" s="301"/>
      <c r="D53" s="259">
        <f>'Saisie plan de financement'!D119</f>
        <v>32631.715787362697</v>
      </c>
      <c r="E53" s="260">
        <f>'Saisie plan de financement'!E119</f>
        <v>140481.1394869404</v>
      </c>
      <c r="F53" s="261">
        <f>'Saisie plan de financement'!F119</f>
        <v>149142.62714515044</v>
      </c>
    </row>
    <row r="54" spans="2:6" ht="13" thickBot="1" x14ac:dyDescent="0.3">
      <c r="C54" s="301"/>
      <c r="D54" s="58"/>
      <c r="E54" s="230"/>
      <c r="F54" s="230"/>
    </row>
    <row r="55" spans="2:6" x14ac:dyDescent="0.25">
      <c r="B55" s="59" t="str">
        <f>'Saisie plan de financement'!B121</f>
        <v>SOLDE</v>
      </c>
      <c r="C55" s="301"/>
      <c r="D55" s="354" t="e">
        <f>'Saisie plan de financement'!D121</f>
        <v>#DIV/0!</v>
      </c>
      <c r="E55" s="355" t="e">
        <f>'Saisie plan de financement'!E121</f>
        <v>#DIV/0!</v>
      </c>
      <c r="F55" s="356" t="e">
        <f>'Saisie plan de financement'!F121</f>
        <v>#DIV/0!</v>
      </c>
    </row>
    <row r="56" spans="2:6" ht="13" thickBot="1" x14ac:dyDescent="0.3">
      <c r="B56" s="249" t="str">
        <f>'Saisie plan de financement'!B122</f>
        <v>CUMUL</v>
      </c>
      <c r="C56" s="301"/>
      <c r="D56" s="357" t="e">
        <f>'Saisie plan de financement'!D122</f>
        <v>#DIV/0!</v>
      </c>
      <c r="E56" s="358" t="e">
        <f>'Saisie plan de financement'!E122</f>
        <v>#DIV/0!</v>
      </c>
      <c r="F56" s="359" t="e">
        <f>'Saisie plan de financement'!F122</f>
        <v>#DIV/0!</v>
      </c>
    </row>
    <row r="59" spans="2:6" x14ac:dyDescent="0.25">
      <c r="B59" s="49" t="s">
        <v>302</v>
      </c>
      <c r="C59" s="49"/>
      <c r="D59" s="49"/>
      <c r="E59" s="49"/>
      <c r="F59" s="4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V17"/>
  <sheetViews>
    <sheetView workbookViewId="0">
      <selection activeCell="H39" sqref="H39"/>
    </sheetView>
  </sheetViews>
  <sheetFormatPr baseColWidth="10" defaultRowHeight="14.5" x14ac:dyDescent="0.35"/>
  <cols>
    <col min="3" max="3" width="31.6328125" customWidth="1"/>
    <col min="4" max="4" width="24.453125" customWidth="1"/>
    <col min="5" max="5" width="17.6328125" bestFit="1" customWidth="1"/>
    <col min="6" max="6" width="16.36328125" bestFit="1" customWidth="1"/>
    <col min="7" max="7" width="17.6328125" bestFit="1" customWidth="1"/>
    <col min="8" max="8" width="16.08984375" bestFit="1" customWidth="1"/>
    <col min="9" max="9" width="15.08984375" bestFit="1" customWidth="1"/>
    <col min="10" max="10" width="20.6328125" bestFit="1" customWidth="1"/>
    <col min="11" max="11" width="19.453125" bestFit="1" customWidth="1"/>
    <col min="12" max="12" width="24.08984375" bestFit="1" customWidth="1"/>
    <col min="13" max="13" width="18.6328125" bestFit="1" customWidth="1"/>
    <col min="14" max="14" width="24" bestFit="1" customWidth="1"/>
    <col min="15" max="15" width="22.453125" bestFit="1" customWidth="1"/>
  </cols>
  <sheetData>
    <row r="2" spans="3:22" x14ac:dyDescent="0.35">
      <c r="D2" s="129" t="s">
        <v>224</v>
      </c>
    </row>
    <row r="3" spans="3:22" x14ac:dyDescent="0.35">
      <c r="D3" t="s">
        <v>221</v>
      </c>
    </row>
    <row r="4" spans="3:22" x14ac:dyDescent="0.35">
      <c r="D4" t="s">
        <v>222</v>
      </c>
    </row>
    <row r="5" spans="3:22" x14ac:dyDescent="0.35">
      <c r="D5" t="s">
        <v>223</v>
      </c>
    </row>
    <row r="6" spans="3:22" x14ac:dyDescent="0.35">
      <c r="D6" t="s">
        <v>225</v>
      </c>
    </row>
    <row r="7" spans="3:22" x14ac:dyDescent="0.35">
      <c r="D7" t="s">
        <v>176</v>
      </c>
    </row>
    <row r="13" spans="3:22" ht="15" thickBot="1" x14ac:dyDescent="0.4"/>
    <row r="14" spans="3:22" ht="15" thickBot="1" x14ac:dyDescent="0.4">
      <c r="D14" s="118">
        <f>'Saisie prévisionnel de tréso'!D67</f>
        <v>44957</v>
      </c>
      <c r="E14" s="118">
        <f>'Saisie prévisionnel de tréso'!E67</f>
        <v>44985</v>
      </c>
      <c r="F14" s="118">
        <f>'Saisie prévisionnel de tréso'!F67</f>
        <v>45016</v>
      </c>
      <c r="G14" s="118">
        <f>'Saisie prévisionnel de tréso'!G67</f>
        <v>45046</v>
      </c>
      <c r="H14" s="118">
        <f>'Saisie prévisionnel de tréso'!H67</f>
        <v>45077</v>
      </c>
      <c r="I14" s="118">
        <f>'Saisie prévisionnel de tréso'!I67</f>
        <v>45107</v>
      </c>
      <c r="J14" s="118">
        <f>'Saisie prévisionnel de tréso'!J67</f>
        <v>45138</v>
      </c>
      <c r="K14" s="118">
        <f>'Saisie prévisionnel de tréso'!K67</f>
        <v>45169</v>
      </c>
      <c r="L14" s="118">
        <f>'Saisie prévisionnel de tréso'!L67</f>
        <v>45199</v>
      </c>
      <c r="M14" s="118">
        <f>'Saisie prévisionnel de tréso'!M67</f>
        <v>45230</v>
      </c>
      <c r="N14" s="118">
        <f>'Saisie prévisionnel de tréso'!N67</f>
        <v>45260</v>
      </c>
      <c r="O14" s="118">
        <f>'Saisie prévisionnel de tréso'!O67</f>
        <v>45291</v>
      </c>
      <c r="P14" s="302"/>
      <c r="Q14" s="302"/>
      <c r="R14" s="302"/>
      <c r="S14" s="302"/>
      <c r="T14" s="302"/>
      <c r="U14" s="302"/>
      <c r="V14" s="302"/>
    </row>
    <row r="15" spans="3:22" x14ac:dyDescent="0.35">
      <c r="C15" t="s">
        <v>292</v>
      </c>
      <c r="D15" s="303">
        <f>'Saisie prévisionnel de tréso'!D112</f>
        <v>0</v>
      </c>
      <c r="E15" s="303">
        <f>'Saisie prévisionnel de tréso'!E112</f>
        <v>15000</v>
      </c>
      <c r="F15" s="303">
        <f>'Saisie prévisionnel de tréso'!F112</f>
        <v>15000</v>
      </c>
      <c r="G15" s="303">
        <f>'Saisie prévisionnel de tréso'!G112</f>
        <v>15000</v>
      </c>
      <c r="H15" s="303">
        <f>'Saisie prévisionnel de tréso'!H112</f>
        <v>65000</v>
      </c>
      <c r="I15" s="303">
        <f>'Saisie prévisionnel de tréso'!I112</f>
        <v>15000</v>
      </c>
      <c r="J15" s="303">
        <f>'Saisie prévisionnel de tréso'!J112</f>
        <v>45000</v>
      </c>
      <c r="K15" s="303">
        <f>'Saisie prévisionnel de tréso'!K112</f>
        <v>165000</v>
      </c>
      <c r="L15" s="303">
        <f>'Saisie prévisionnel de tréso'!L112</f>
        <v>15000</v>
      </c>
      <c r="M15" s="303">
        <f>'Saisie prévisionnel de tréso'!M112</f>
        <v>0</v>
      </c>
      <c r="N15" s="303">
        <f>'Saisie prévisionnel de tréso'!N112</f>
        <v>0</v>
      </c>
      <c r="O15" s="303">
        <f>'Saisie prévisionnel de tréso'!O112</f>
        <v>0</v>
      </c>
    </row>
    <row r="16" spans="3:22" x14ac:dyDescent="0.35">
      <c r="C16" t="s">
        <v>293</v>
      </c>
      <c r="D16" s="303">
        <f>'Saisie prévisionnel de tréso'!D178</f>
        <v>0</v>
      </c>
      <c r="E16" s="303">
        <f>'Saisie prévisionnel de tréso'!E178</f>
        <v>30000</v>
      </c>
      <c r="F16" s="303">
        <f>'Saisie prévisionnel de tréso'!F178</f>
        <v>30000</v>
      </c>
      <c r="G16" s="303">
        <f>'Saisie prévisionnel de tréso'!G178</f>
        <v>30000</v>
      </c>
      <c r="H16" s="303">
        <f>'Saisie prévisionnel de tréso'!H178</f>
        <v>30000</v>
      </c>
      <c r="I16" s="303">
        <f>'Saisie prévisionnel de tréso'!I178</f>
        <v>30000</v>
      </c>
      <c r="J16" s="303">
        <f>'Saisie prévisionnel de tréso'!J178</f>
        <v>30000</v>
      </c>
      <c r="K16" s="303">
        <f>'Saisie prévisionnel de tréso'!K178</f>
        <v>30000</v>
      </c>
      <c r="L16" s="303">
        <f>'Saisie prévisionnel de tréso'!L178</f>
        <v>3000</v>
      </c>
      <c r="M16" s="303">
        <f>'Saisie prévisionnel de tréso'!M178</f>
        <v>0</v>
      </c>
      <c r="N16" s="303">
        <f>'Saisie prévisionnel de tréso'!N178</f>
        <v>0</v>
      </c>
      <c r="O16" s="303">
        <f>'Saisie prévisionnel de tréso'!O178</f>
        <v>0</v>
      </c>
    </row>
    <row r="17" spans="3:15" x14ac:dyDescent="0.35">
      <c r="C17" t="s">
        <v>295</v>
      </c>
      <c r="D17" s="303">
        <f>'Saisie prévisionnel de tréso'!D181</f>
        <v>80635</v>
      </c>
      <c r="E17" s="303">
        <f>'Saisie prévisionnel de tréso'!E181</f>
        <v>65635</v>
      </c>
      <c r="F17" s="303">
        <f>'Saisie prévisionnel de tréso'!F181</f>
        <v>50635</v>
      </c>
      <c r="G17" s="303">
        <f>'Saisie prévisionnel de tréso'!G181</f>
        <v>35635</v>
      </c>
      <c r="H17" s="303">
        <f>'Saisie prévisionnel de tréso'!H181</f>
        <v>70635</v>
      </c>
      <c r="I17" s="303">
        <f>'Saisie prévisionnel de tréso'!I181</f>
        <v>55635</v>
      </c>
      <c r="J17" s="303">
        <f>'Saisie prévisionnel de tréso'!J181</f>
        <v>70635</v>
      </c>
      <c r="K17" s="303">
        <f>'Saisie prévisionnel de tréso'!K181</f>
        <v>205635</v>
      </c>
      <c r="L17" s="303">
        <f>'Saisie prévisionnel de tréso'!L181</f>
        <v>217635</v>
      </c>
      <c r="M17" s="303">
        <f>'Saisie prévisionnel de tréso'!M181</f>
        <v>217635</v>
      </c>
      <c r="N17" s="303">
        <f>'Saisie prévisionnel de tréso'!N181</f>
        <v>217635</v>
      </c>
      <c r="O17" s="303">
        <f>'Saisie prévisionnel de tréso'!O181</f>
        <v>217635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3"/>
  <sheetViews>
    <sheetView topLeftCell="A33" zoomScaleNormal="100" workbookViewId="0">
      <selection activeCell="D6" sqref="D6"/>
    </sheetView>
  </sheetViews>
  <sheetFormatPr baseColWidth="10" defaultColWidth="11.453125" defaultRowHeight="13" x14ac:dyDescent="0.3"/>
  <cols>
    <col min="1" max="1" width="15.90625" style="22" customWidth="1"/>
    <col min="2" max="2" width="68.6328125" style="22" customWidth="1"/>
    <col min="3" max="3" width="1.453125" style="22" customWidth="1"/>
    <col min="4" max="6" width="18" style="22" customWidth="1"/>
    <col min="7" max="7" width="14.6328125" style="22" customWidth="1"/>
    <col min="8" max="8" width="15.453125" style="22" bestFit="1" customWidth="1"/>
    <col min="9" max="9" width="8.08984375" style="22" customWidth="1"/>
    <col min="10" max="10" width="9.453125" style="746" customWidth="1"/>
    <col min="11" max="11" width="9.54296875" style="22" customWidth="1"/>
    <col min="12" max="12" width="16.453125" style="22" customWidth="1"/>
    <col min="13" max="13" width="13.54296875" style="22" customWidth="1"/>
    <col min="14" max="14" width="20.08984375" style="22" customWidth="1"/>
    <col min="15" max="15" width="18.36328125" style="22" customWidth="1"/>
    <col min="16" max="16" width="17" style="22" customWidth="1"/>
    <col min="17" max="17" width="18.6328125" style="22" customWidth="1"/>
    <col min="18" max="21" width="13.08984375" style="22" customWidth="1"/>
    <col min="22" max="16384" width="11.453125" style="22"/>
  </cols>
  <sheetData>
    <row r="1" spans="1:18" ht="12.5" x14ac:dyDescent="0.25">
      <c r="B1" s="23"/>
      <c r="C1" s="1"/>
      <c r="D1" s="23"/>
      <c r="E1" s="23"/>
      <c r="F1" s="23"/>
      <c r="G1" s="23"/>
      <c r="H1" s="23"/>
      <c r="I1" s="23"/>
      <c r="J1" s="744"/>
      <c r="K1" s="23"/>
      <c r="L1" s="23"/>
      <c r="M1" s="23"/>
    </row>
    <row r="2" spans="1:18" ht="17" customHeight="1" x14ac:dyDescent="0.3">
      <c r="B2" s="38" t="s">
        <v>128</v>
      </c>
      <c r="C2" s="37"/>
      <c r="D2" s="37"/>
      <c r="E2" s="37"/>
      <c r="F2" s="37"/>
      <c r="G2" s="37"/>
      <c r="H2" s="37"/>
      <c r="I2" s="18"/>
      <c r="J2" s="745"/>
      <c r="K2" s="18"/>
      <c r="L2" s="18"/>
      <c r="M2" s="18"/>
    </row>
    <row r="3" spans="1:18" ht="17" customHeight="1" thickBot="1" x14ac:dyDescent="0.35">
      <c r="B3" s="1"/>
      <c r="C3" s="1"/>
    </row>
    <row r="4" spans="1:18" ht="17" customHeight="1" thickBot="1" x14ac:dyDescent="0.35">
      <c r="A4" s="780" t="s">
        <v>418</v>
      </c>
      <c r="B4" s="3" t="s">
        <v>141</v>
      </c>
      <c r="C4" s="2"/>
      <c r="D4" s="3">
        <f t="shared" ref="D4:E4" si="0">E4-1</f>
        <v>2018</v>
      </c>
      <c r="E4" s="3">
        <f t="shared" si="0"/>
        <v>2019</v>
      </c>
      <c r="F4" s="3">
        <f>G4-1</f>
        <v>2020</v>
      </c>
      <c r="G4" s="34">
        <f>H4-1</f>
        <v>2021</v>
      </c>
      <c r="H4" s="17">
        <f>'Données Générales'!D22</f>
        <v>2022</v>
      </c>
    </row>
    <row r="5" spans="1:18" ht="6" customHeight="1" thickBot="1" x14ac:dyDescent="0.35">
      <c r="A5" s="777"/>
      <c r="B5" s="2"/>
      <c r="C5" s="2"/>
      <c r="D5" s="4"/>
      <c r="E5" s="4"/>
      <c r="F5" s="4"/>
      <c r="G5" s="4"/>
      <c r="H5" s="4"/>
    </row>
    <row r="6" spans="1:18" x14ac:dyDescent="0.3">
      <c r="A6" s="778" t="s">
        <v>421</v>
      </c>
      <c r="B6" s="5" t="s">
        <v>137</v>
      </c>
      <c r="C6" s="332"/>
      <c r="D6" s="362"/>
      <c r="E6" s="363"/>
      <c r="F6" s="362"/>
      <c r="G6" s="363"/>
      <c r="H6" s="364"/>
    </row>
    <row r="7" spans="1:18" x14ac:dyDescent="0.3">
      <c r="A7" s="778" t="s">
        <v>422</v>
      </c>
      <c r="B7" s="7" t="s">
        <v>138</v>
      </c>
      <c r="C7" s="332"/>
      <c r="D7" s="365"/>
      <c r="E7" s="366"/>
      <c r="F7" s="365"/>
      <c r="G7" s="366"/>
      <c r="H7" s="367"/>
    </row>
    <row r="8" spans="1:18" x14ac:dyDescent="0.3">
      <c r="A8" s="778" t="s">
        <v>423</v>
      </c>
      <c r="B8" s="7" t="s">
        <v>139</v>
      </c>
      <c r="C8" s="6"/>
      <c r="D8" s="365"/>
      <c r="E8" s="366"/>
      <c r="F8" s="365"/>
      <c r="G8" s="366"/>
      <c r="H8" s="367"/>
    </row>
    <row r="9" spans="1:18" x14ac:dyDescent="0.3">
      <c r="A9" s="778"/>
      <c r="B9" s="397" t="s">
        <v>100</v>
      </c>
      <c r="C9" s="6"/>
      <c r="D9" s="399">
        <f t="shared" ref="D9:E9" si="1">D8+D7+D6</f>
        <v>0</v>
      </c>
      <c r="E9" s="399">
        <f t="shared" si="1"/>
        <v>0</v>
      </c>
      <c r="F9" s="399">
        <f>F8+F7+F6</f>
        <v>0</v>
      </c>
      <c r="G9" s="400">
        <f>G8+G7+G6</f>
        <v>0</v>
      </c>
      <c r="H9" s="401">
        <f>H8+H7+H6</f>
        <v>0</v>
      </c>
    </row>
    <row r="10" spans="1:18" x14ac:dyDescent="0.3">
      <c r="A10" s="778">
        <v>37</v>
      </c>
      <c r="B10" s="7" t="s">
        <v>13</v>
      </c>
      <c r="C10" s="6"/>
      <c r="D10" s="365"/>
      <c r="E10" s="366"/>
      <c r="F10" s="365"/>
      <c r="G10" s="366"/>
      <c r="H10" s="367"/>
    </row>
    <row r="11" spans="1:18" ht="12.5" x14ac:dyDescent="0.25">
      <c r="A11" s="778">
        <v>411</v>
      </c>
      <c r="B11" s="7" t="s">
        <v>133</v>
      </c>
      <c r="C11" s="6"/>
      <c r="D11" s="365"/>
      <c r="E11" s="366"/>
      <c r="F11" s="365"/>
      <c r="G11" s="366"/>
      <c r="H11" s="367"/>
      <c r="J11" s="782"/>
      <c r="K11" s="782"/>
      <c r="L11" s="782"/>
      <c r="M11" s="782"/>
      <c r="N11" s="782"/>
      <c r="O11" s="782"/>
      <c r="P11" s="782"/>
      <c r="Q11" s="782"/>
      <c r="R11" s="782"/>
    </row>
    <row r="12" spans="1:18" ht="12.5" x14ac:dyDescent="0.25">
      <c r="A12" s="778">
        <v>4417</v>
      </c>
      <c r="B12" s="7" t="s">
        <v>359</v>
      </c>
      <c r="C12" s="9"/>
      <c r="D12" s="368"/>
      <c r="E12" s="369"/>
      <c r="F12" s="368"/>
      <c r="G12" s="369"/>
      <c r="H12" s="370"/>
      <c r="J12" s="747" t="s">
        <v>38</v>
      </c>
      <c r="K12" s="21"/>
      <c r="L12" s="21"/>
      <c r="M12" s="21"/>
      <c r="N12" s="21"/>
      <c r="O12" s="21"/>
      <c r="P12" s="21"/>
      <c r="Q12" s="21"/>
      <c r="R12" s="21"/>
    </row>
    <row r="13" spans="1:18" ht="12.5" x14ac:dyDescent="0.25">
      <c r="A13" s="778">
        <v>4411</v>
      </c>
      <c r="B13" s="7" t="s">
        <v>360</v>
      </c>
      <c r="C13" s="9"/>
      <c r="D13" s="368"/>
      <c r="E13" s="369"/>
      <c r="F13" s="368"/>
      <c r="G13" s="369"/>
      <c r="H13" s="370"/>
      <c r="J13" s="747"/>
      <c r="K13" s="21"/>
      <c r="L13" s="21"/>
      <c r="M13" s="21"/>
      <c r="N13" s="21"/>
      <c r="O13" s="21"/>
      <c r="P13" s="21"/>
      <c r="Q13" s="21"/>
      <c r="R13" s="21"/>
    </row>
    <row r="14" spans="1:18" ht="13.25" customHeight="1" x14ac:dyDescent="0.25">
      <c r="A14" s="778"/>
      <c r="B14" s="7" t="s">
        <v>16</v>
      </c>
      <c r="C14" s="6"/>
      <c r="D14" s="371"/>
      <c r="E14" s="372"/>
      <c r="F14" s="371"/>
      <c r="G14" s="372"/>
      <c r="H14" s="373"/>
      <c r="J14" s="747"/>
      <c r="K14" s="21"/>
      <c r="L14" s="21"/>
      <c r="M14" s="21"/>
      <c r="N14" s="21"/>
      <c r="O14" s="21"/>
      <c r="P14" s="21"/>
      <c r="Q14" s="21"/>
      <c r="R14" s="21"/>
    </row>
    <row r="15" spans="1:18" ht="12.5" x14ac:dyDescent="0.25">
      <c r="A15" s="778" t="s">
        <v>434</v>
      </c>
      <c r="B15" s="7" t="s">
        <v>101</v>
      </c>
      <c r="C15" s="6"/>
      <c r="D15" s="371"/>
      <c r="E15" s="372"/>
      <c r="F15" s="371"/>
      <c r="G15" s="372"/>
      <c r="H15" s="373"/>
      <c r="J15" s="747"/>
      <c r="K15" s="21"/>
      <c r="L15" s="21"/>
      <c r="M15" s="21"/>
      <c r="N15" s="21"/>
      <c r="O15" s="21"/>
      <c r="P15" s="21"/>
      <c r="Q15" s="21"/>
      <c r="R15" s="21"/>
    </row>
    <row r="16" spans="1:18" ht="12.5" x14ac:dyDescent="0.25">
      <c r="A16" s="778"/>
      <c r="B16" s="397" t="s">
        <v>19</v>
      </c>
      <c r="C16" s="6"/>
      <c r="D16" s="399">
        <f t="shared" ref="D16:E16" si="2">D10+D11+D12+D14+D15+D13</f>
        <v>0</v>
      </c>
      <c r="E16" s="399">
        <f t="shared" si="2"/>
        <v>0</v>
      </c>
      <c r="F16" s="399">
        <f>F10+F11+F12+F14+F15+F13</f>
        <v>0</v>
      </c>
      <c r="G16" s="399">
        <f>G10+G11+G12+G14+G15+G13</f>
        <v>0</v>
      </c>
      <c r="H16" s="399">
        <f>H10+H11+H12+H14+H15+H13</f>
        <v>0</v>
      </c>
      <c r="J16" s="747"/>
      <c r="K16" s="21"/>
      <c r="L16" s="21"/>
      <c r="M16" s="21"/>
      <c r="N16" s="21"/>
      <c r="O16" s="21"/>
      <c r="P16" s="21"/>
      <c r="Q16" s="21"/>
      <c r="R16" s="21"/>
    </row>
    <row r="17" spans="1:18" ht="12.5" x14ac:dyDescent="0.25">
      <c r="A17" s="778">
        <v>486</v>
      </c>
      <c r="B17" s="12" t="s">
        <v>21</v>
      </c>
      <c r="C17" s="6"/>
      <c r="D17" s="371"/>
      <c r="E17" s="372"/>
      <c r="F17" s="371"/>
      <c r="G17" s="372"/>
      <c r="H17" s="373"/>
      <c r="J17" s="747"/>
      <c r="K17" s="21"/>
      <c r="L17" s="21"/>
      <c r="M17" s="21"/>
      <c r="N17" s="21"/>
      <c r="O17" s="21"/>
      <c r="P17" s="21"/>
      <c r="Q17" s="21"/>
      <c r="R17" s="21"/>
    </row>
    <row r="18" spans="1:18" thickBot="1" x14ac:dyDescent="0.3">
      <c r="A18" s="778"/>
      <c r="B18" s="397" t="s">
        <v>23</v>
      </c>
      <c r="C18" s="402">
        <f t="shared" ref="C18:E18" si="3">C16+C9+C17</f>
        <v>0</v>
      </c>
      <c r="D18" s="402">
        <f t="shared" si="3"/>
        <v>0</v>
      </c>
      <c r="E18" s="402">
        <f t="shared" si="3"/>
        <v>0</v>
      </c>
      <c r="F18" s="402">
        <f>F16+F9+F17</f>
        <v>0</v>
      </c>
      <c r="G18" s="402">
        <f>G16+G9+G17</f>
        <v>0</v>
      </c>
      <c r="H18" s="402">
        <f>H16+H9+H17</f>
        <v>0</v>
      </c>
      <c r="J18" s="747"/>
      <c r="K18" s="21"/>
      <c r="L18" s="21"/>
      <c r="M18" s="21"/>
      <c r="N18" s="21"/>
      <c r="O18" s="21"/>
      <c r="P18" s="21"/>
      <c r="Q18" s="21"/>
      <c r="R18" s="21"/>
    </row>
    <row r="19" spans="1:18" ht="17" customHeight="1" thickBot="1" x14ac:dyDescent="0.3">
      <c r="A19" s="778"/>
      <c r="C19" s="9"/>
      <c r="D19" s="10"/>
      <c r="E19" s="10"/>
      <c r="F19" s="10"/>
      <c r="G19" s="10"/>
      <c r="H19" s="10"/>
      <c r="J19" s="747"/>
      <c r="K19" s="21"/>
      <c r="L19" s="21"/>
      <c r="M19" s="21"/>
      <c r="N19" s="21"/>
      <c r="O19" s="21"/>
      <c r="P19" s="21"/>
      <c r="Q19" s="21"/>
      <c r="R19" s="21"/>
    </row>
    <row r="20" spans="1:18" ht="13.5" thickBot="1" x14ac:dyDescent="0.35">
      <c r="A20" s="778"/>
      <c r="B20" s="3" t="s">
        <v>140</v>
      </c>
      <c r="C20" s="14"/>
      <c r="D20" s="15">
        <f t="shared" ref="D20:E20" si="4">D4</f>
        <v>2018</v>
      </c>
      <c r="E20" s="15">
        <f t="shared" si="4"/>
        <v>2019</v>
      </c>
      <c r="F20" s="15">
        <f>F4</f>
        <v>2020</v>
      </c>
      <c r="G20" s="16">
        <f>G4</f>
        <v>2021</v>
      </c>
      <c r="H20" s="17">
        <f>H4</f>
        <v>2022</v>
      </c>
    </row>
    <row r="21" spans="1:18" ht="7.25" customHeight="1" thickBot="1" x14ac:dyDescent="0.35">
      <c r="A21" s="778"/>
      <c r="C21" s="9"/>
      <c r="D21" s="10"/>
      <c r="E21" s="10"/>
      <c r="F21" s="10"/>
      <c r="G21" s="10"/>
      <c r="H21" s="10"/>
    </row>
    <row r="22" spans="1:18" ht="17" customHeight="1" x14ac:dyDescent="0.3">
      <c r="A22" s="778">
        <v>101</v>
      </c>
      <c r="B22" s="5" t="s">
        <v>10</v>
      </c>
      <c r="C22" s="6"/>
      <c r="D22" s="374"/>
      <c r="E22" s="375"/>
      <c r="F22" s="374"/>
      <c r="G22" s="375"/>
      <c r="H22" s="376"/>
    </row>
    <row r="23" spans="1:18" x14ac:dyDescent="0.3">
      <c r="A23" s="778">
        <v>131</v>
      </c>
      <c r="B23" s="7" t="s">
        <v>11</v>
      </c>
      <c r="C23" s="6"/>
      <c r="D23" s="371"/>
      <c r="E23" s="372"/>
      <c r="F23" s="371"/>
      <c r="G23" s="372"/>
      <c r="H23" s="373"/>
    </row>
    <row r="24" spans="1:18" x14ac:dyDescent="0.3">
      <c r="A24" s="778" t="s">
        <v>424</v>
      </c>
      <c r="B24" s="7" t="s">
        <v>134</v>
      </c>
      <c r="C24" s="6"/>
      <c r="D24" s="371"/>
      <c r="E24" s="372"/>
      <c r="F24" s="371"/>
      <c r="G24" s="372"/>
      <c r="H24" s="373"/>
      <c r="K24" s="6"/>
    </row>
    <row r="25" spans="1:18" x14ac:dyDescent="0.3">
      <c r="A25" s="778" t="s">
        <v>425</v>
      </c>
      <c r="B25" s="7" t="s">
        <v>12</v>
      </c>
      <c r="C25" s="6"/>
      <c r="D25" s="371"/>
      <c r="E25" s="372"/>
      <c r="F25" s="371"/>
      <c r="G25" s="372"/>
      <c r="H25" s="373"/>
    </row>
    <row r="26" spans="1:18" x14ac:dyDescent="0.3">
      <c r="A26" s="778"/>
      <c r="B26" s="7" t="s">
        <v>73</v>
      </c>
      <c r="C26" s="6"/>
      <c r="D26" s="371"/>
      <c r="E26" s="372"/>
      <c r="F26" s="371"/>
      <c r="G26" s="372"/>
      <c r="H26" s="373"/>
    </row>
    <row r="27" spans="1:18" x14ac:dyDescent="0.3">
      <c r="A27" s="778"/>
      <c r="B27" s="8" t="s">
        <v>115</v>
      </c>
      <c r="C27" s="9"/>
      <c r="D27" s="399">
        <f t="shared" ref="D27:E27" si="5">D22+D23+D24+D25+D26</f>
        <v>0</v>
      </c>
      <c r="E27" s="399">
        <f t="shared" si="5"/>
        <v>0</v>
      </c>
      <c r="F27" s="399">
        <f>F22+F23+F24+F25+F26</f>
        <v>0</v>
      </c>
      <c r="G27" s="400">
        <f>G22+G23+G24+G25+G26</f>
        <v>0</v>
      </c>
      <c r="H27" s="401">
        <f>H22+H23+H24+H25+H26</f>
        <v>0</v>
      </c>
    </row>
    <row r="28" spans="1:18" x14ac:dyDescent="0.3">
      <c r="A28" s="778">
        <v>15</v>
      </c>
      <c r="B28" s="8" t="s">
        <v>14</v>
      </c>
      <c r="C28" s="9"/>
      <c r="D28" s="371"/>
      <c r="E28" s="372"/>
      <c r="F28" s="371"/>
      <c r="G28" s="372"/>
      <c r="H28" s="373"/>
    </row>
    <row r="29" spans="1:18" x14ac:dyDescent="0.3">
      <c r="A29" s="778">
        <v>16</v>
      </c>
      <c r="B29" s="7" t="s">
        <v>135</v>
      </c>
      <c r="C29" s="6"/>
      <c r="D29" s="371"/>
      <c r="E29" s="372"/>
      <c r="F29" s="371"/>
      <c r="G29" s="372"/>
      <c r="H29" s="373"/>
    </row>
    <row r="30" spans="1:18" x14ac:dyDescent="0.3">
      <c r="A30" s="778">
        <v>519</v>
      </c>
      <c r="B30" s="7" t="s">
        <v>136</v>
      </c>
      <c r="C30" s="6"/>
      <c r="D30" s="371"/>
      <c r="E30" s="372"/>
      <c r="F30" s="371"/>
      <c r="G30" s="372"/>
      <c r="H30" s="373"/>
    </row>
    <row r="31" spans="1:18" x14ac:dyDescent="0.3">
      <c r="A31" s="778">
        <v>401</v>
      </c>
      <c r="B31" s="7" t="s">
        <v>458</v>
      </c>
      <c r="C31" s="6"/>
      <c r="D31" s="371"/>
      <c r="E31" s="372"/>
      <c r="F31" s="371"/>
      <c r="G31" s="372"/>
      <c r="H31" s="373"/>
    </row>
    <row r="32" spans="1:18" x14ac:dyDescent="0.3">
      <c r="A32" s="778">
        <v>404</v>
      </c>
      <c r="B32" s="7" t="s">
        <v>457</v>
      </c>
      <c r="C32" s="6"/>
      <c r="D32" s="371"/>
      <c r="E32" s="372"/>
      <c r="F32" s="371"/>
      <c r="G32" s="372"/>
      <c r="H32" s="373"/>
    </row>
    <row r="33" spans="1:11" x14ac:dyDescent="0.3">
      <c r="A33" s="778" t="s">
        <v>435</v>
      </c>
      <c r="B33" s="7" t="s">
        <v>17</v>
      </c>
      <c r="C33" s="6"/>
      <c r="D33" s="371"/>
      <c r="E33" s="372"/>
      <c r="F33" s="371"/>
      <c r="G33" s="372"/>
      <c r="H33" s="373"/>
    </row>
    <row r="34" spans="1:11" x14ac:dyDescent="0.3">
      <c r="A34" s="778">
        <v>46</v>
      </c>
      <c r="B34" s="7" t="s">
        <v>18</v>
      </c>
      <c r="C34" s="6"/>
      <c r="D34" s="371"/>
      <c r="E34" s="372"/>
      <c r="F34" s="371"/>
      <c r="G34" s="372"/>
      <c r="H34" s="373"/>
    </row>
    <row r="35" spans="1:11" x14ac:dyDescent="0.3">
      <c r="A35" s="778"/>
      <c r="B35" s="8" t="s">
        <v>20</v>
      </c>
      <c r="C35" s="9"/>
      <c r="D35" s="399">
        <f>SUM(D29:D34)</f>
        <v>0</v>
      </c>
      <c r="E35" s="399">
        <f>SUM(E29:E34)</f>
        <v>0</v>
      </c>
      <c r="F35" s="399">
        <f>SUM(F29:F34)</f>
        <v>0</v>
      </c>
      <c r="G35" s="400">
        <f>SUM(G29:G34)</f>
        <v>0</v>
      </c>
      <c r="H35" s="401">
        <f>SUM(H29:H34)</f>
        <v>0</v>
      </c>
    </row>
    <row r="36" spans="1:11" x14ac:dyDescent="0.3">
      <c r="A36" s="778">
        <v>487</v>
      </c>
      <c r="B36" s="19" t="s">
        <v>22</v>
      </c>
      <c r="C36" s="14"/>
      <c r="D36" s="371"/>
      <c r="E36" s="372"/>
      <c r="F36" s="371"/>
      <c r="G36" s="372"/>
      <c r="H36" s="373"/>
    </row>
    <row r="37" spans="1:11" ht="13.5" thickBot="1" x14ac:dyDescent="0.35">
      <c r="A37" s="778"/>
      <c r="B37" s="20" t="s">
        <v>24</v>
      </c>
      <c r="C37" s="9"/>
      <c r="D37" s="402">
        <f>SUM(D36,D35,D28,D27)</f>
        <v>0</v>
      </c>
      <c r="E37" s="402">
        <f>SUM(E36,E35,E28,E27)</f>
        <v>0</v>
      </c>
      <c r="F37" s="402">
        <f>SUM(F36,F35,F28,F27)</f>
        <v>0</v>
      </c>
      <c r="G37" s="403">
        <f>SUM(G36,G35,G28,G27)</f>
        <v>0</v>
      </c>
      <c r="H37" s="404">
        <f>SUM(H36,H35,H28,H27)</f>
        <v>0</v>
      </c>
    </row>
    <row r="38" spans="1:11" x14ac:dyDescent="0.3">
      <c r="A38" s="778"/>
      <c r="C38" s="6"/>
      <c r="D38" s="11"/>
      <c r="E38" s="11"/>
      <c r="F38" s="11">
        <v>0</v>
      </c>
      <c r="G38" s="11">
        <v>0</v>
      </c>
      <c r="H38" s="11">
        <v>0</v>
      </c>
    </row>
    <row r="39" spans="1:11" ht="13.5" thickBot="1" x14ac:dyDescent="0.35">
      <c r="A39" s="778"/>
    </row>
    <row r="40" spans="1:11" x14ac:dyDescent="0.3">
      <c r="A40" s="778"/>
      <c r="B40" s="407" t="s">
        <v>284</v>
      </c>
      <c r="D40" s="405">
        <f>(D10+D11+D12+D14+D17+D13)-(D31+D33+D34+D36)</f>
        <v>0</v>
      </c>
      <c r="E40" s="405">
        <f>(E10+E11+E12+E14+E17+E13)-(E31+E33+E34+E36)</f>
        <v>0</v>
      </c>
      <c r="F40" s="405">
        <f>(F10+F11+F12+F14+F17+F13)-(F31+F33+F34+F36)</f>
        <v>0</v>
      </c>
      <c r="G40" s="405">
        <f>(G10+G11+G12+G14+G17+G13)-(G31+G33+G34+G36)</f>
        <v>0</v>
      </c>
      <c r="H40" s="405">
        <f>(H10+H11+H12+H14+H17+H13)-(H31+H33+H34+H36)</f>
        <v>0</v>
      </c>
    </row>
    <row r="41" spans="1:11" x14ac:dyDescent="0.3">
      <c r="A41" s="778"/>
      <c r="B41" s="408" t="s">
        <v>283</v>
      </c>
      <c r="D41" s="398">
        <f>D27+D28+D29-D9</f>
        <v>0</v>
      </c>
      <c r="E41" s="398">
        <f>E27+E28+E29-E9</f>
        <v>0</v>
      </c>
      <c r="F41" s="398">
        <f>F27+F28+F29-F9</f>
        <v>0</v>
      </c>
      <c r="G41" s="398">
        <f>G27+G28+G29-G9</f>
        <v>0</v>
      </c>
      <c r="H41" s="398">
        <f>H27+H28+H29-H9</f>
        <v>0</v>
      </c>
    </row>
    <row r="42" spans="1:11" ht="13.5" thickBot="1" x14ac:dyDescent="0.35">
      <c r="A42" s="778"/>
      <c r="B42" s="409" t="s">
        <v>285</v>
      </c>
      <c r="D42" s="406">
        <f t="shared" ref="D42:E42" si="6">D41-D40</f>
        <v>0</v>
      </c>
      <c r="E42" s="406">
        <f t="shared" si="6"/>
        <v>0</v>
      </c>
      <c r="F42" s="406">
        <f>F41-F40</f>
        <v>0</v>
      </c>
      <c r="G42" s="406">
        <f>G41-G40</f>
        <v>0</v>
      </c>
      <c r="H42" s="406">
        <f>H41-H40</f>
        <v>0</v>
      </c>
    </row>
    <row r="43" spans="1:11" x14ac:dyDescent="0.3">
      <c r="A43" s="778"/>
    </row>
    <row r="44" spans="1:11" x14ac:dyDescent="0.3">
      <c r="A44" s="778"/>
    </row>
    <row r="45" spans="1:11" x14ac:dyDescent="0.3">
      <c r="A45" s="778"/>
      <c r="B45" s="38" t="s">
        <v>127</v>
      </c>
      <c r="C45" s="37"/>
      <c r="D45" s="37"/>
      <c r="E45" s="37"/>
      <c r="F45" s="37"/>
      <c r="G45" s="37"/>
      <c r="H45" s="37"/>
    </row>
    <row r="46" spans="1:11" ht="15" customHeight="1" thickBot="1" x14ac:dyDescent="0.3">
      <c r="A46" s="778"/>
      <c r="I46" s="784" t="s">
        <v>348</v>
      </c>
      <c r="J46" s="783" t="s">
        <v>449</v>
      </c>
      <c r="K46" s="783" t="s">
        <v>451</v>
      </c>
    </row>
    <row r="47" spans="1:11" ht="13.5" customHeight="1" thickBot="1" x14ac:dyDescent="0.3">
      <c r="A47" s="780" t="s">
        <v>418</v>
      </c>
      <c r="B47" s="3" t="s">
        <v>125</v>
      </c>
      <c r="D47" s="28">
        <f t="shared" ref="D47:E47" si="7">E47-1</f>
        <v>2018</v>
      </c>
      <c r="E47" s="28">
        <f t="shared" si="7"/>
        <v>2019</v>
      </c>
      <c r="F47" s="28">
        <f>G47-1</f>
        <v>2020</v>
      </c>
      <c r="G47" s="29">
        <f>H47-1</f>
        <v>2021</v>
      </c>
      <c r="H47" s="30">
        <f>H4</f>
        <v>2022</v>
      </c>
      <c r="I47" s="784"/>
      <c r="J47" s="783"/>
      <c r="K47" s="783"/>
    </row>
    <row r="48" spans="1:11" thickBot="1" x14ac:dyDescent="0.3">
      <c r="A48" s="778"/>
      <c r="B48" s="24"/>
      <c r="I48" s="766">
        <f>SUM(I49:I53)</f>
        <v>0</v>
      </c>
      <c r="J48" s="767">
        <f>SUM(J49:J53)</f>
        <v>0</v>
      </c>
    </row>
    <row r="49" spans="1:17" ht="13.5" thickBot="1" x14ac:dyDescent="0.35">
      <c r="A49" s="779">
        <v>70</v>
      </c>
      <c r="B49" s="25" t="s">
        <v>454</v>
      </c>
      <c r="D49" s="377"/>
      <c r="E49" s="378"/>
      <c r="F49" s="377"/>
      <c r="G49" s="378"/>
      <c r="H49" s="364"/>
      <c r="I49" s="768">
        <f>SUM(F49:H49)*0</f>
        <v>0</v>
      </c>
      <c r="J49" s="769">
        <f>SUM(F49:H49)</f>
        <v>0</v>
      </c>
      <c r="K49" s="219" t="e">
        <f>J49/J$48</f>
        <v>#DIV/0!</v>
      </c>
    </row>
    <row r="50" spans="1:17" ht="13.5" thickBot="1" x14ac:dyDescent="0.35">
      <c r="A50" s="779">
        <v>70</v>
      </c>
      <c r="B50" s="25" t="s">
        <v>445</v>
      </c>
      <c r="D50" s="743"/>
      <c r="E50" s="743"/>
      <c r="F50" s="743"/>
      <c r="G50" s="743"/>
      <c r="H50" s="743"/>
      <c r="I50" s="768">
        <f>SUM(F50:H50)*0.021</f>
        <v>0</v>
      </c>
      <c r="J50" s="769">
        <f t="shared" ref="J50:J53" si="8">SUM(F50:H50)</f>
        <v>0</v>
      </c>
      <c r="K50" s="219" t="e">
        <f t="shared" ref="K50:K53" si="9">J50/J$48</f>
        <v>#DIV/0!</v>
      </c>
    </row>
    <row r="51" spans="1:17" ht="13.5" thickBot="1" x14ac:dyDescent="0.35">
      <c r="A51" s="779">
        <v>70</v>
      </c>
      <c r="B51" s="25" t="s">
        <v>446</v>
      </c>
      <c r="D51" s="743"/>
      <c r="E51" s="743"/>
      <c r="F51" s="743"/>
      <c r="G51" s="743"/>
      <c r="H51" s="743"/>
      <c r="I51" s="768">
        <f>SUM(F51:H51)*0.055</f>
        <v>0</v>
      </c>
      <c r="J51" s="769">
        <f t="shared" si="8"/>
        <v>0</v>
      </c>
      <c r="K51" s="219" t="e">
        <f t="shared" si="9"/>
        <v>#DIV/0!</v>
      </c>
    </row>
    <row r="52" spans="1:17" ht="13.5" thickBot="1" x14ac:dyDescent="0.35">
      <c r="A52" s="779">
        <v>70</v>
      </c>
      <c r="B52" s="25" t="s">
        <v>447</v>
      </c>
      <c r="D52" s="743"/>
      <c r="E52" s="743"/>
      <c r="F52" s="743"/>
      <c r="G52" s="743"/>
      <c r="H52" s="743"/>
      <c r="I52" s="768">
        <f>SUM(F52:H52)*0.1</f>
        <v>0</v>
      </c>
      <c r="J52" s="769">
        <f t="shared" si="8"/>
        <v>0</v>
      </c>
      <c r="K52" s="219" t="e">
        <f t="shared" si="9"/>
        <v>#DIV/0!</v>
      </c>
    </row>
    <row r="53" spans="1:17" x14ac:dyDescent="0.3">
      <c r="A53" s="779">
        <v>70</v>
      </c>
      <c r="B53" s="25" t="s">
        <v>448</v>
      </c>
      <c r="D53" s="743"/>
      <c r="E53" s="743"/>
      <c r="F53" s="743"/>
      <c r="G53" s="743"/>
      <c r="H53" s="743"/>
      <c r="I53" s="768">
        <f>SUM(F53:H53)*0.2</f>
        <v>0</v>
      </c>
      <c r="J53" s="769">
        <f t="shared" si="8"/>
        <v>0</v>
      </c>
      <c r="K53" s="219" t="e">
        <f t="shared" si="9"/>
        <v>#DIV/0!</v>
      </c>
    </row>
    <row r="54" spans="1:17" x14ac:dyDescent="0.3">
      <c r="A54" s="778"/>
      <c r="B54" s="26" t="s">
        <v>102</v>
      </c>
      <c r="D54" s="379"/>
      <c r="E54" s="380"/>
      <c r="F54" s="379"/>
      <c r="G54" s="380"/>
      <c r="H54" s="367"/>
    </row>
    <row r="55" spans="1:17" x14ac:dyDescent="0.3">
      <c r="A55" s="778">
        <v>74</v>
      </c>
      <c r="B55" s="26" t="s">
        <v>26</v>
      </c>
      <c r="D55" s="379"/>
      <c r="E55" s="380"/>
      <c r="F55" s="379"/>
      <c r="G55" s="380"/>
      <c r="H55" s="367"/>
    </row>
    <row r="56" spans="1:17" x14ac:dyDescent="0.3">
      <c r="A56" s="778">
        <v>6281</v>
      </c>
      <c r="B56" s="26" t="s">
        <v>87</v>
      </c>
      <c r="D56" s="379"/>
      <c r="E56" s="380"/>
      <c r="F56" s="379"/>
      <c r="G56" s="380"/>
      <c r="H56" s="367"/>
    </row>
    <row r="57" spans="1:17" x14ac:dyDescent="0.3">
      <c r="A57" s="778">
        <v>6896</v>
      </c>
      <c r="B57" s="26" t="s">
        <v>108</v>
      </c>
      <c r="D57" s="379"/>
      <c r="E57" s="380"/>
      <c r="F57" s="379"/>
      <c r="G57" s="380"/>
      <c r="H57" s="367"/>
    </row>
    <row r="58" spans="1:17" x14ac:dyDescent="0.3">
      <c r="A58" s="778" t="s">
        <v>431</v>
      </c>
      <c r="B58" s="26" t="s">
        <v>27</v>
      </c>
      <c r="D58" s="381"/>
      <c r="E58" s="382"/>
      <c r="F58" s="381"/>
      <c r="G58" s="382"/>
      <c r="H58" s="383"/>
    </row>
    <row r="59" spans="1:17" x14ac:dyDescent="0.3">
      <c r="A59" s="778"/>
      <c r="B59" s="32" t="s">
        <v>103</v>
      </c>
      <c r="D59" s="379"/>
      <c r="E59" s="380"/>
      <c r="F59" s="379"/>
      <c r="G59" s="380"/>
      <c r="H59" s="367"/>
    </row>
    <row r="60" spans="1:17" x14ac:dyDescent="0.3">
      <c r="A60" s="778">
        <v>75</v>
      </c>
      <c r="B60" s="33" t="s">
        <v>109</v>
      </c>
      <c r="D60" s="381"/>
      <c r="E60" s="382"/>
      <c r="F60" s="381"/>
      <c r="G60" s="382"/>
      <c r="H60" s="383"/>
    </row>
    <row r="61" spans="1:17" x14ac:dyDescent="0.3">
      <c r="A61" s="778">
        <v>7894</v>
      </c>
      <c r="B61" s="26" t="s">
        <v>436</v>
      </c>
      <c r="D61" s="365"/>
      <c r="E61" s="366"/>
      <c r="F61" s="365"/>
      <c r="G61" s="366"/>
      <c r="H61" s="367"/>
      <c r="N61" s="36" t="s">
        <v>143</v>
      </c>
      <c r="O61" s="43">
        <f>F18-F37</f>
        <v>0</v>
      </c>
      <c r="P61" s="43">
        <f>G18-G37</f>
        <v>0</v>
      </c>
      <c r="Q61" s="43">
        <f>H18-H37</f>
        <v>0</v>
      </c>
    </row>
    <row r="62" spans="1:17" x14ac:dyDescent="0.3">
      <c r="A62" s="778"/>
      <c r="B62" s="27" t="s">
        <v>28</v>
      </c>
      <c r="D62" s="401">
        <f t="shared" ref="D62:E62" si="10">D60+D58+D57+D56+D55+D54+D49+D61+D50+D51+D52+D53</f>
        <v>0</v>
      </c>
      <c r="E62" s="401">
        <f t="shared" si="10"/>
        <v>0</v>
      </c>
      <c r="F62" s="401">
        <f>F60+F58+F57+F56+F55+F54+F49+F61+F50+F51+F52+F53</f>
        <v>0</v>
      </c>
      <c r="G62" s="401">
        <f t="shared" ref="G62:H62" si="11">G60+G58+G57+G56+G55+G54+G49+G61+G50+G51+G52+G53</f>
        <v>0</v>
      </c>
      <c r="H62" s="401">
        <f t="shared" si="11"/>
        <v>0</v>
      </c>
    </row>
    <row r="63" spans="1:17" x14ac:dyDescent="0.3">
      <c r="A63" s="778" t="s">
        <v>426</v>
      </c>
      <c r="B63" s="26" t="s">
        <v>106</v>
      </c>
      <c r="D63" s="379"/>
      <c r="E63" s="380"/>
      <c r="F63" s="379"/>
      <c r="G63" s="380"/>
      <c r="H63" s="367"/>
    </row>
    <row r="64" spans="1:17" x14ac:dyDescent="0.3">
      <c r="A64" s="778">
        <v>62</v>
      </c>
      <c r="B64" s="26" t="s">
        <v>29</v>
      </c>
      <c r="D64" s="379"/>
      <c r="E64" s="380"/>
      <c r="F64" s="379"/>
      <c r="G64" s="380"/>
      <c r="H64" s="367"/>
    </row>
    <row r="65" spans="1:17" x14ac:dyDescent="0.3">
      <c r="A65" s="778">
        <v>63</v>
      </c>
      <c r="B65" s="26" t="s">
        <v>30</v>
      </c>
      <c r="D65" s="379"/>
      <c r="E65" s="380"/>
      <c r="F65" s="379"/>
      <c r="G65" s="380"/>
      <c r="H65" s="367"/>
    </row>
    <row r="66" spans="1:17" x14ac:dyDescent="0.3">
      <c r="A66" s="778">
        <v>641</v>
      </c>
      <c r="B66" s="26" t="s">
        <v>31</v>
      </c>
      <c r="D66" s="379"/>
      <c r="E66" s="380"/>
      <c r="F66" s="379"/>
      <c r="G66" s="380"/>
      <c r="H66" s="367"/>
    </row>
    <row r="67" spans="1:17" x14ac:dyDescent="0.3">
      <c r="A67" s="778"/>
      <c r="B67" s="32" t="s">
        <v>104</v>
      </c>
      <c r="D67" s="381"/>
      <c r="E67" s="382"/>
      <c r="F67" s="381"/>
      <c r="G67" s="382"/>
      <c r="H67" s="383"/>
    </row>
    <row r="68" spans="1:17" x14ac:dyDescent="0.3">
      <c r="A68" s="778"/>
      <c r="B68" s="32" t="s">
        <v>328</v>
      </c>
      <c r="D68" s="381"/>
      <c r="E68" s="382"/>
      <c r="F68" s="381"/>
      <c r="G68" s="382"/>
      <c r="H68" s="383"/>
    </row>
    <row r="69" spans="1:17" x14ac:dyDescent="0.3">
      <c r="A69" s="778">
        <v>645</v>
      </c>
      <c r="B69" s="26" t="s">
        <v>32</v>
      </c>
      <c r="D69" s="379"/>
      <c r="E69" s="380"/>
      <c r="F69" s="379"/>
      <c r="G69" s="380"/>
      <c r="H69" s="367"/>
    </row>
    <row r="70" spans="1:17" x14ac:dyDescent="0.3">
      <c r="A70" s="778"/>
      <c r="B70" s="32" t="s">
        <v>104</v>
      </c>
      <c r="D70" s="381"/>
      <c r="E70" s="382"/>
      <c r="F70" s="381"/>
      <c r="G70" s="382"/>
      <c r="H70" s="383"/>
    </row>
    <row r="71" spans="1:17" x14ac:dyDescent="0.3">
      <c r="A71" s="778"/>
      <c r="B71" s="32" t="s">
        <v>328</v>
      </c>
      <c r="D71" s="381"/>
      <c r="E71" s="382"/>
      <c r="F71" s="381"/>
      <c r="G71" s="382"/>
      <c r="H71" s="383"/>
    </row>
    <row r="72" spans="1:17" x14ac:dyDescent="0.3">
      <c r="A72" s="778"/>
      <c r="B72" s="26" t="s">
        <v>242</v>
      </c>
      <c r="D72" s="379"/>
      <c r="E72" s="380"/>
      <c r="F72" s="379"/>
      <c r="G72" s="380"/>
      <c r="H72" s="367"/>
    </row>
    <row r="73" spans="1:17" x14ac:dyDescent="0.3">
      <c r="A73" s="778">
        <v>68</v>
      </c>
      <c r="B73" s="26" t="s">
        <v>107</v>
      </c>
      <c r="D73" s="399">
        <f t="shared" ref="D73:E73" si="12">D74+D75</f>
        <v>0</v>
      </c>
      <c r="E73" s="399">
        <f t="shared" si="12"/>
        <v>0</v>
      </c>
      <c r="F73" s="399">
        <f>F74+F75</f>
        <v>0</v>
      </c>
      <c r="G73" s="400">
        <f>G74+G75</f>
        <v>0</v>
      </c>
      <c r="H73" s="401">
        <f>H74+H75</f>
        <v>0</v>
      </c>
    </row>
    <row r="74" spans="1:17" x14ac:dyDescent="0.3">
      <c r="A74" s="778">
        <v>6811</v>
      </c>
      <c r="B74" s="32" t="s">
        <v>243</v>
      </c>
      <c r="D74" s="379"/>
      <c r="E74" s="380"/>
      <c r="F74" s="379"/>
      <c r="G74" s="380"/>
      <c r="H74" s="380"/>
    </row>
    <row r="75" spans="1:17" x14ac:dyDescent="0.3">
      <c r="A75" s="778">
        <v>6815</v>
      </c>
      <c r="B75" s="32" t="s">
        <v>239</v>
      </c>
      <c r="D75" s="379"/>
      <c r="E75" s="380"/>
      <c r="F75" s="379"/>
      <c r="G75" s="380"/>
      <c r="H75" s="367"/>
    </row>
    <row r="76" spans="1:17" x14ac:dyDescent="0.3">
      <c r="A76" s="778">
        <v>6894</v>
      </c>
      <c r="B76" s="26" t="s">
        <v>437</v>
      </c>
      <c r="D76" s="392"/>
      <c r="E76" s="393"/>
      <c r="F76" s="392"/>
      <c r="G76" s="393"/>
      <c r="H76" s="394"/>
      <c r="N76" s="36" t="s">
        <v>144</v>
      </c>
      <c r="O76" s="44">
        <f>F25-F101</f>
        <v>0</v>
      </c>
      <c r="P76" s="44">
        <f>G25-G101</f>
        <v>0</v>
      </c>
      <c r="Q76" s="44">
        <f>H25-H101</f>
        <v>0</v>
      </c>
    </row>
    <row r="77" spans="1:17" x14ac:dyDescent="0.3">
      <c r="A77" s="778"/>
      <c r="B77" s="27" t="s">
        <v>33</v>
      </c>
      <c r="D77" s="401">
        <f t="shared" ref="D77:G77" si="13">D73+D72+D69+D66+D65+D64+D63+D76</f>
        <v>0</v>
      </c>
      <c r="E77" s="401">
        <f t="shared" si="13"/>
        <v>0</v>
      </c>
      <c r="F77" s="401">
        <f t="shared" si="13"/>
        <v>0</v>
      </c>
      <c r="G77" s="401">
        <f t="shared" si="13"/>
        <v>0</v>
      </c>
      <c r="H77" s="401">
        <f>H73+H72+H69+H66+H65+H64+H63+H76</f>
        <v>0</v>
      </c>
    </row>
    <row r="78" spans="1:17" ht="13.5" thickBot="1" x14ac:dyDescent="0.35">
      <c r="A78" s="778"/>
      <c r="B78" s="13" t="s">
        <v>34</v>
      </c>
      <c r="D78" s="402">
        <f t="shared" ref="D78:E78" si="14">D62-D77</f>
        <v>0</v>
      </c>
      <c r="E78" s="402">
        <f t="shared" si="14"/>
        <v>0</v>
      </c>
      <c r="F78" s="402">
        <f>F62-F77</f>
        <v>0</v>
      </c>
      <c r="G78" s="403">
        <f>G62-G77</f>
        <v>0</v>
      </c>
      <c r="H78" s="404">
        <f>H62-H77</f>
        <v>0</v>
      </c>
    </row>
    <row r="79" spans="1:17" ht="13.5" thickBot="1" x14ac:dyDescent="0.35">
      <c r="A79" s="778"/>
    </row>
    <row r="80" spans="1:17" ht="13.5" thickBot="1" x14ac:dyDescent="0.35">
      <c r="A80" s="778"/>
      <c r="B80" s="3" t="s">
        <v>126</v>
      </c>
      <c r="D80" s="35">
        <f t="shared" ref="D80:E80" si="15">D47</f>
        <v>2018</v>
      </c>
      <c r="E80" s="35">
        <f t="shared" si="15"/>
        <v>2019</v>
      </c>
      <c r="F80" s="35">
        <f>F47</f>
        <v>2020</v>
      </c>
      <c r="G80" s="30">
        <f>G47</f>
        <v>2021</v>
      </c>
      <c r="H80" s="30">
        <f>H47</f>
        <v>2022</v>
      </c>
    </row>
    <row r="81" spans="1:8" ht="6" customHeight="1" thickBot="1" x14ac:dyDescent="0.35">
      <c r="A81" s="778"/>
    </row>
    <row r="82" spans="1:8" x14ac:dyDescent="0.3">
      <c r="A82" s="778">
        <v>761</v>
      </c>
      <c r="B82" s="25" t="s">
        <v>110</v>
      </c>
      <c r="D82" s="384"/>
      <c r="E82" s="385"/>
      <c r="F82" s="384"/>
      <c r="G82" s="385"/>
      <c r="H82" s="386"/>
    </row>
    <row r="83" spans="1:8" x14ac:dyDescent="0.3">
      <c r="A83" s="778">
        <v>7865</v>
      </c>
      <c r="B83" s="32" t="s">
        <v>116</v>
      </c>
      <c r="D83" s="381"/>
      <c r="E83" s="382"/>
      <c r="F83" s="381"/>
      <c r="G83" s="382"/>
      <c r="H83" s="383"/>
    </row>
    <row r="84" spans="1:8" x14ac:dyDescent="0.3">
      <c r="A84" s="778">
        <v>66</v>
      </c>
      <c r="B84" s="26" t="s">
        <v>111</v>
      </c>
      <c r="D84" s="379"/>
      <c r="E84" s="380"/>
      <c r="F84" s="379"/>
      <c r="G84" s="380"/>
      <c r="H84" s="367"/>
    </row>
    <row r="85" spans="1:8" x14ac:dyDescent="0.3">
      <c r="A85" s="778">
        <v>6866</v>
      </c>
      <c r="B85" s="32" t="s">
        <v>117</v>
      </c>
      <c r="D85" s="379"/>
      <c r="E85" s="380"/>
      <c r="F85" s="379"/>
      <c r="G85" s="380"/>
      <c r="H85" s="367"/>
    </row>
    <row r="86" spans="1:8" x14ac:dyDescent="0.3">
      <c r="A86" s="778"/>
      <c r="B86" s="27" t="s">
        <v>35</v>
      </c>
      <c r="D86" s="399">
        <f t="shared" ref="D86:E86" si="16">D82-D84</f>
        <v>0</v>
      </c>
      <c r="E86" s="399">
        <f t="shared" si="16"/>
        <v>0</v>
      </c>
      <c r="F86" s="399">
        <f>F82-F84</f>
        <v>0</v>
      </c>
      <c r="G86" s="400">
        <f>G82-G84</f>
        <v>0</v>
      </c>
      <c r="H86" s="401">
        <f>H82-H84</f>
        <v>0</v>
      </c>
    </row>
    <row r="87" spans="1:8" x14ac:dyDescent="0.3">
      <c r="A87" s="778">
        <v>771</v>
      </c>
      <c r="B87" s="26" t="s">
        <v>112</v>
      </c>
      <c r="D87" s="387"/>
      <c r="E87" s="388"/>
      <c r="F87" s="387"/>
      <c r="G87" s="388"/>
      <c r="H87" s="383"/>
    </row>
    <row r="88" spans="1:8" x14ac:dyDescent="0.3">
      <c r="A88" s="778">
        <v>781</v>
      </c>
      <c r="B88" s="32" t="s">
        <v>121</v>
      </c>
      <c r="D88" s="387"/>
      <c r="E88" s="388"/>
      <c r="F88" s="387"/>
      <c r="G88" s="388"/>
      <c r="H88" s="383"/>
    </row>
    <row r="89" spans="1:8" x14ac:dyDescent="0.3">
      <c r="A89" s="778">
        <v>775</v>
      </c>
      <c r="B89" s="32" t="s">
        <v>119</v>
      </c>
      <c r="D89" s="387"/>
      <c r="E89" s="388"/>
      <c r="F89" s="387"/>
      <c r="G89" s="388"/>
      <c r="H89" s="383"/>
    </row>
    <row r="90" spans="1:8" x14ac:dyDescent="0.3">
      <c r="A90" s="778">
        <v>777</v>
      </c>
      <c r="B90" s="32" t="s">
        <v>120</v>
      </c>
      <c r="D90" s="387"/>
      <c r="E90" s="388"/>
      <c r="F90" s="387"/>
      <c r="G90" s="388"/>
      <c r="H90" s="388"/>
    </row>
    <row r="91" spans="1:8" x14ac:dyDescent="0.3">
      <c r="A91" s="778">
        <v>7715</v>
      </c>
      <c r="B91" s="32" t="s">
        <v>123</v>
      </c>
      <c r="D91" s="387"/>
      <c r="E91" s="388"/>
      <c r="F91" s="387"/>
      <c r="G91" s="388"/>
      <c r="H91" s="383"/>
    </row>
    <row r="92" spans="1:8" x14ac:dyDescent="0.3">
      <c r="A92" s="778">
        <v>67</v>
      </c>
      <c r="B92" s="26" t="s">
        <v>113</v>
      </c>
      <c r="D92" s="387"/>
      <c r="E92" s="388"/>
      <c r="F92" s="387"/>
      <c r="G92" s="388"/>
      <c r="H92" s="383"/>
    </row>
    <row r="93" spans="1:8" x14ac:dyDescent="0.3">
      <c r="A93" s="778">
        <v>6875</v>
      </c>
      <c r="B93" s="32" t="s">
        <v>122</v>
      </c>
      <c r="D93" s="387"/>
      <c r="E93" s="388"/>
      <c r="F93" s="387"/>
      <c r="G93" s="388"/>
      <c r="H93" s="383"/>
    </row>
    <row r="94" spans="1:8" x14ac:dyDescent="0.3">
      <c r="A94" s="778">
        <v>675</v>
      </c>
      <c r="B94" s="32" t="s">
        <v>118</v>
      </c>
      <c r="D94" s="389"/>
      <c r="E94" s="390"/>
      <c r="F94" s="389"/>
      <c r="G94" s="390"/>
      <c r="H94" s="391"/>
    </row>
    <row r="95" spans="1:8" ht="13.5" thickBot="1" x14ac:dyDescent="0.35">
      <c r="A95" s="778"/>
      <c r="B95" s="31" t="s">
        <v>36</v>
      </c>
      <c r="D95" s="402">
        <f t="shared" ref="D95:E95" si="17">D87-D92</f>
        <v>0</v>
      </c>
      <c r="E95" s="402">
        <f t="shared" si="17"/>
        <v>0</v>
      </c>
      <c r="F95" s="402">
        <f>F87-F92</f>
        <v>0</v>
      </c>
      <c r="G95" s="403">
        <f>G87-G92</f>
        <v>0</v>
      </c>
      <c r="H95" s="404">
        <f>H87-H92</f>
        <v>0</v>
      </c>
    </row>
    <row r="96" spans="1:8" ht="13.5" thickBot="1" x14ac:dyDescent="0.35">
      <c r="A96" s="778"/>
      <c r="B96" s="2"/>
      <c r="D96" s="2"/>
      <c r="E96" s="2"/>
      <c r="F96" s="2"/>
      <c r="G96" s="2"/>
      <c r="H96" s="2"/>
    </row>
    <row r="97" spans="1:17" ht="13.5" thickBot="1" x14ac:dyDescent="0.35">
      <c r="A97" s="778"/>
      <c r="B97" s="3" t="s">
        <v>124</v>
      </c>
      <c r="D97" s="15">
        <f t="shared" ref="D97:E97" si="18">D80</f>
        <v>2018</v>
      </c>
      <c r="E97" s="15">
        <f t="shared" si="18"/>
        <v>2019</v>
      </c>
      <c r="F97" s="15">
        <f>F80</f>
        <v>2020</v>
      </c>
      <c r="G97" s="16">
        <f>G80</f>
        <v>2021</v>
      </c>
      <c r="H97" s="17">
        <f>H80</f>
        <v>2022</v>
      </c>
    </row>
    <row r="98" spans="1:17" ht="5" customHeight="1" thickBot="1" x14ac:dyDescent="0.35">
      <c r="A98" s="778"/>
      <c r="B98" s="2"/>
      <c r="D98" s="2"/>
      <c r="E98" s="2"/>
      <c r="F98" s="2"/>
      <c r="G98" s="2"/>
      <c r="H98" s="2"/>
    </row>
    <row r="99" spans="1:17" x14ac:dyDescent="0.3">
      <c r="A99" s="778">
        <v>691</v>
      </c>
      <c r="B99" s="25" t="s">
        <v>129</v>
      </c>
      <c r="D99" s="362"/>
      <c r="E99" s="363"/>
      <c r="F99" s="362"/>
      <c r="G99" s="363"/>
      <c r="H99" s="364"/>
      <c r="N99" s="334" t="s">
        <v>132</v>
      </c>
      <c r="O99" s="334"/>
      <c r="P99" s="334"/>
      <c r="Q99" s="334"/>
    </row>
    <row r="100" spans="1:17" x14ac:dyDescent="0.3">
      <c r="A100" s="778">
        <v>695</v>
      </c>
      <c r="B100" s="26" t="s">
        <v>114</v>
      </c>
      <c r="D100" s="365"/>
      <c r="E100" s="366"/>
      <c r="F100" s="365"/>
      <c r="G100" s="366"/>
      <c r="H100" s="367"/>
      <c r="N100" s="42"/>
    </row>
    <row r="101" spans="1:17" ht="13.5" thickBot="1" x14ac:dyDescent="0.35">
      <c r="A101" s="777"/>
      <c r="B101" s="31" t="s">
        <v>37</v>
      </c>
      <c r="D101" s="404">
        <f t="shared" ref="D101:G101" si="19">D78+D95+D86-D99-D100</f>
        <v>0</v>
      </c>
      <c r="E101" s="404">
        <f t="shared" si="19"/>
        <v>0</v>
      </c>
      <c r="F101" s="404">
        <f t="shared" si="19"/>
        <v>0</v>
      </c>
      <c r="G101" s="404">
        <f t="shared" si="19"/>
        <v>0</v>
      </c>
      <c r="H101" s="404">
        <f>H78+H95+H86-H99-H100</f>
        <v>0</v>
      </c>
      <c r="N101" s="22" t="s">
        <v>281</v>
      </c>
      <c r="O101" s="43">
        <f>(F15-F30)-F42</f>
        <v>0</v>
      </c>
      <c r="P101" s="43">
        <f>(G15-G30)-G42</f>
        <v>0</v>
      </c>
      <c r="Q101" s="43">
        <f>(H15-H30)-H42</f>
        <v>0</v>
      </c>
    </row>
    <row r="102" spans="1:17" ht="13.5" thickBot="1" x14ac:dyDescent="0.35">
      <c r="A102" s="778"/>
    </row>
    <row r="103" spans="1:17" ht="13.5" thickBot="1" x14ac:dyDescent="0.35">
      <c r="A103" s="778"/>
      <c r="B103" s="146" t="s">
        <v>275</v>
      </c>
      <c r="D103" s="410">
        <f t="shared" ref="D103:G103" si="20">D101+D93+D85+D73-D59-D83-D88-D90+D94-D89</f>
        <v>0</v>
      </c>
      <c r="E103" s="410">
        <f t="shared" si="20"/>
        <v>0</v>
      </c>
      <c r="F103" s="410">
        <f t="shared" si="20"/>
        <v>0</v>
      </c>
      <c r="G103" s="410">
        <f t="shared" si="20"/>
        <v>0</v>
      </c>
      <c r="H103" s="410">
        <f>H101+H93+H85+H73-H59-H83-H88-H90+H94-H89</f>
        <v>0</v>
      </c>
    </row>
  </sheetData>
  <mergeCells count="4">
    <mergeCell ref="J11:R11"/>
    <mergeCell ref="J46:J47"/>
    <mergeCell ref="I46:I47"/>
    <mergeCell ref="K46:K47"/>
  </mergeCells>
  <pageMargins left="0.31496062992125984" right="0.31496062992125984" top="0.74803149606299213" bottom="0.74803149606299213" header="0.31496062992125984" footer="0.31496062992125984"/>
  <pageSetup paperSize="9" scale="65" orientation="portrait" r:id="rId1"/>
  <ignoredErrors>
    <ignoredError sqref="J50:J53"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1" id="{6AB9B9E5-D02F-4E5F-9DC4-D0C007C1C534}">
            <xm:f>IF('Données Générales'!$D$7="Non fiscalisée",TRUE,FALSE)</xm:f>
            <x14:dxf>
              <font>
                <color theme="7" tint="-0.24994659260841701"/>
              </font>
              <fill>
                <patternFill>
                  <bgColor theme="7" tint="-0.24994659260841701"/>
                </patternFill>
              </fill>
            </x14:dxf>
          </x14:cfRule>
          <xm:sqref>B50:B53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1566-4897-4033-8ED7-5992976D1876}">
  <dimension ref="A3:AP27"/>
  <sheetViews>
    <sheetView zoomScale="85" zoomScaleNormal="85" workbookViewId="0">
      <selection activeCell="A17" sqref="A17"/>
    </sheetView>
  </sheetViews>
  <sheetFormatPr baseColWidth="10" defaultRowHeight="14.5" x14ac:dyDescent="0.35"/>
  <cols>
    <col min="1" max="1" width="18" customWidth="1"/>
    <col min="2" max="2" width="33.36328125" customWidth="1"/>
    <col min="3" max="3" width="9.90625" customWidth="1"/>
    <col min="4" max="4" width="19.36328125" customWidth="1"/>
    <col min="5" max="5" width="8.6328125" customWidth="1"/>
    <col min="6" max="6" width="20" bestFit="1" customWidth="1"/>
    <col min="7" max="7" width="9.6328125" customWidth="1"/>
    <col min="8" max="8" width="15.54296875" customWidth="1"/>
    <col min="9" max="9" width="8.54296875" customWidth="1"/>
    <col min="10" max="10" width="8.36328125" bestFit="1" customWidth="1"/>
    <col min="11" max="11" width="8.6328125" customWidth="1"/>
    <col min="12" max="18" width="14.08984375" customWidth="1"/>
    <col min="20" max="20" width="19" customWidth="1"/>
    <col min="22" max="22" width="15.6328125" customWidth="1"/>
  </cols>
  <sheetData>
    <row r="3" spans="2:42" s="22" customFormat="1" ht="20.399999999999999" customHeight="1" x14ac:dyDescent="0.25">
      <c r="B3" s="785" t="s">
        <v>274</v>
      </c>
      <c r="C3" s="785"/>
      <c r="D3" s="785"/>
      <c r="E3" s="785"/>
      <c r="F3" s="785"/>
      <c r="G3" s="785"/>
      <c r="H3" s="785"/>
      <c r="I3" s="785"/>
      <c r="J3" s="785"/>
      <c r="K3" s="785"/>
      <c r="L3" s="785"/>
      <c r="M3" s="785"/>
      <c r="N3" s="785"/>
      <c r="O3" s="785"/>
      <c r="P3" s="785"/>
      <c r="Q3" s="785"/>
      <c r="R3" s="785"/>
      <c r="S3" s="785"/>
      <c r="T3" s="785"/>
      <c r="U3" s="785"/>
      <c r="V3" s="785"/>
      <c r="W3" s="785"/>
      <c r="X3" s="785"/>
      <c r="Y3" s="785"/>
      <c r="Z3" s="785"/>
      <c r="AA3" s="710"/>
    </row>
    <row r="4" spans="2:42" s="22" customFormat="1" ht="14" thickBot="1" x14ac:dyDescent="0.3">
      <c r="B4" s="40"/>
      <c r="C4" s="40"/>
      <c r="D4" s="40"/>
      <c r="E4" s="40"/>
      <c r="F4" s="40"/>
      <c r="G4" s="40"/>
      <c r="H4" s="40"/>
      <c r="I4" s="40"/>
      <c r="J4" s="40"/>
      <c r="K4" s="40"/>
      <c r="L4" s="40"/>
      <c r="M4" s="40"/>
      <c r="N4" s="40"/>
      <c r="O4" s="40"/>
      <c r="P4" s="40"/>
      <c r="Q4" s="40"/>
      <c r="R4" s="40"/>
      <c r="S4" s="40"/>
      <c r="T4" s="40"/>
      <c r="U4" s="40"/>
      <c r="V4" s="40"/>
      <c r="W4" s="40"/>
      <c r="X4" s="40"/>
      <c r="Y4" s="40"/>
      <c r="Z4" s="40"/>
      <c r="AA4" s="40"/>
    </row>
    <row r="5" spans="2:42" s="22" customFormat="1" ht="14.75" customHeight="1" thickBot="1" x14ac:dyDescent="0.3">
      <c r="B5" s="786" t="s">
        <v>364</v>
      </c>
      <c r="C5" s="39"/>
      <c r="D5" s="788">
        <f>'Saisie comptes'!D4</f>
        <v>2018</v>
      </c>
      <c r="E5" s="789"/>
      <c r="F5" s="789"/>
      <c r="G5" s="789"/>
      <c r="H5" s="789"/>
      <c r="I5" s="789"/>
      <c r="J5" s="790"/>
      <c r="K5" s="39"/>
      <c r="L5" s="788">
        <f>'Saisie comptes'!E4</f>
        <v>2019</v>
      </c>
      <c r="M5" s="789"/>
      <c r="N5" s="789"/>
      <c r="O5" s="789"/>
      <c r="P5" s="789"/>
      <c r="Q5" s="789"/>
      <c r="R5" s="790"/>
      <c r="S5" s="39"/>
      <c r="T5" s="788">
        <f>'Saisie comptes'!F97</f>
        <v>2020</v>
      </c>
      <c r="U5" s="789"/>
      <c r="V5" s="789"/>
      <c r="W5" s="789"/>
      <c r="X5" s="789"/>
      <c r="Y5" s="789"/>
      <c r="Z5" s="790"/>
      <c r="AA5" s="39"/>
      <c r="AB5" s="788">
        <f>'Saisie comptes'!G4</f>
        <v>2021</v>
      </c>
      <c r="AC5" s="789"/>
      <c r="AD5" s="789"/>
      <c r="AE5" s="789"/>
      <c r="AF5" s="789"/>
      <c r="AG5" s="789"/>
      <c r="AH5" s="790"/>
      <c r="AI5" s="39"/>
      <c r="AJ5" s="788">
        <f>'Saisie comptes'!H4</f>
        <v>2022</v>
      </c>
      <c r="AK5" s="789"/>
      <c r="AL5" s="789"/>
      <c r="AM5" s="789"/>
      <c r="AN5" s="789"/>
      <c r="AO5" s="789"/>
      <c r="AP5" s="790"/>
    </row>
    <row r="6" spans="2:42" s="41" customFormat="1" ht="73.25" customHeight="1" x14ac:dyDescent="0.25">
      <c r="B6" s="787"/>
      <c r="C6" s="45"/>
      <c r="D6" s="691" t="s">
        <v>142</v>
      </c>
      <c r="E6" s="714" t="s">
        <v>369</v>
      </c>
      <c r="F6" s="691" t="s">
        <v>367</v>
      </c>
      <c r="G6" s="714" t="s">
        <v>370</v>
      </c>
      <c r="H6" s="692" t="s">
        <v>327</v>
      </c>
      <c r="I6" s="715" t="s">
        <v>371</v>
      </c>
      <c r="J6" s="711" t="s">
        <v>39</v>
      </c>
      <c r="K6" s="45"/>
      <c r="L6" s="691" t="s">
        <v>142</v>
      </c>
      <c r="M6" s="714" t="s">
        <v>369</v>
      </c>
      <c r="N6" s="691" t="s">
        <v>367</v>
      </c>
      <c r="O6" s="714" t="s">
        <v>370</v>
      </c>
      <c r="P6" s="692" t="s">
        <v>327</v>
      </c>
      <c r="Q6" s="715" t="s">
        <v>371</v>
      </c>
      <c r="R6" s="711" t="s">
        <v>39</v>
      </c>
      <c r="S6" s="45"/>
      <c r="T6" s="691" t="s">
        <v>142</v>
      </c>
      <c r="U6" s="714" t="s">
        <v>369</v>
      </c>
      <c r="V6" s="691" t="s">
        <v>367</v>
      </c>
      <c r="W6" s="714" t="s">
        <v>370</v>
      </c>
      <c r="X6" s="692" t="s">
        <v>327</v>
      </c>
      <c r="Y6" s="715" t="s">
        <v>371</v>
      </c>
      <c r="Z6" s="711" t="s">
        <v>39</v>
      </c>
      <c r="AA6" s="45"/>
      <c r="AB6" s="691" t="s">
        <v>142</v>
      </c>
      <c r="AC6" s="714" t="s">
        <v>369</v>
      </c>
      <c r="AD6" s="691" t="s">
        <v>367</v>
      </c>
      <c r="AE6" s="714" t="s">
        <v>370</v>
      </c>
      <c r="AF6" s="692" t="s">
        <v>327</v>
      </c>
      <c r="AG6" s="715" t="s">
        <v>371</v>
      </c>
      <c r="AH6" s="711" t="s">
        <v>39</v>
      </c>
      <c r="AI6" s="45"/>
      <c r="AJ6" s="691" t="s">
        <v>142</v>
      </c>
      <c r="AK6" s="714" t="s">
        <v>369</v>
      </c>
      <c r="AL6" s="691" t="s">
        <v>367</v>
      </c>
      <c r="AM6" s="714" t="s">
        <v>370</v>
      </c>
      <c r="AN6" s="692" t="s">
        <v>327</v>
      </c>
      <c r="AO6" s="715" t="s">
        <v>371</v>
      </c>
      <c r="AP6" s="711" t="s">
        <v>39</v>
      </c>
    </row>
    <row r="7" spans="2:42" s="22" customFormat="1" ht="12.5" x14ac:dyDescent="0.25">
      <c r="B7" s="411" t="s">
        <v>326</v>
      </c>
      <c r="C7" s="46"/>
      <c r="D7" s="395">
        <v>50000</v>
      </c>
      <c r="E7" s="716">
        <f>D7/$T$12</f>
        <v>0.83333333333333337</v>
      </c>
      <c r="F7" s="395">
        <v>50000</v>
      </c>
      <c r="G7" s="716">
        <f>F7/$T$12</f>
        <v>0.83333333333333337</v>
      </c>
      <c r="H7" s="396"/>
      <c r="I7" s="717">
        <f>H7/$T$12</f>
        <v>0</v>
      </c>
      <c r="J7" s="712">
        <f>SUM(D7:I7)-I7-G7-E7</f>
        <v>100000.00000000001</v>
      </c>
      <c r="K7" s="46"/>
      <c r="L7" s="395">
        <v>50000</v>
      </c>
      <c r="M7" s="716">
        <f>L7/$T$12</f>
        <v>0.83333333333333337</v>
      </c>
      <c r="N7" s="395">
        <v>50000</v>
      </c>
      <c r="O7" s="716">
        <f>N7/$T$12</f>
        <v>0.83333333333333337</v>
      </c>
      <c r="P7" s="396"/>
      <c r="Q7" s="717">
        <f>P7/$T$12</f>
        <v>0</v>
      </c>
      <c r="R7" s="712">
        <f>SUM(L7:Q7)-Q7-O7-M7</f>
        <v>100000.00000000001</v>
      </c>
      <c r="S7" s="46"/>
      <c r="T7" s="395">
        <v>50000</v>
      </c>
      <c r="U7" s="716">
        <f>T7/$T$12</f>
        <v>0.83333333333333337</v>
      </c>
      <c r="V7" s="395">
        <v>50000</v>
      </c>
      <c r="W7" s="716">
        <f>V7/$T$12</f>
        <v>0.83333333333333337</v>
      </c>
      <c r="X7" s="396"/>
      <c r="Y7" s="717">
        <f>X7/$T$12</f>
        <v>0</v>
      </c>
      <c r="Z7" s="712">
        <f>SUM(T7:Y7)-Y7-W7-U7</f>
        <v>100000.00000000001</v>
      </c>
      <c r="AA7" s="46"/>
      <c r="AB7" s="395">
        <v>50000</v>
      </c>
      <c r="AC7" s="716">
        <f>AB7/$T$12</f>
        <v>0.83333333333333337</v>
      </c>
      <c r="AD7" s="395">
        <v>50000</v>
      </c>
      <c r="AE7" s="716">
        <f>AD7/$T$12</f>
        <v>0.83333333333333337</v>
      </c>
      <c r="AF7" s="396"/>
      <c r="AG7" s="717">
        <f>AF7/$T$12</f>
        <v>0</v>
      </c>
      <c r="AH7" s="712">
        <f>SUM(AB7:AG7)-AG7-AE7-AC7</f>
        <v>100000.00000000001</v>
      </c>
      <c r="AI7" s="46"/>
      <c r="AJ7" s="395">
        <v>50000</v>
      </c>
      <c r="AK7" s="716">
        <f>AJ7/$T$12</f>
        <v>0.83333333333333337</v>
      </c>
      <c r="AL7" s="395">
        <v>50000</v>
      </c>
      <c r="AM7" s="716">
        <f>AL7/$T$12</f>
        <v>0.83333333333333337</v>
      </c>
      <c r="AN7" s="396"/>
      <c r="AO7" s="717">
        <f>AN7/$T$12</f>
        <v>0</v>
      </c>
      <c r="AP7" s="712">
        <f>SUM(AJ7:AO7)-AO7-AM7-AK7</f>
        <v>100000.00000000001</v>
      </c>
    </row>
    <row r="8" spans="2:42" s="22" customFormat="1" ht="12.5" x14ac:dyDescent="0.25">
      <c r="B8" s="411" t="s">
        <v>326</v>
      </c>
      <c r="C8" s="46"/>
      <c r="D8" s="395">
        <v>10000</v>
      </c>
      <c r="E8" s="716">
        <f>D8/$T$12</f>
        <v>0.16666666666666666</v>
      </c>
      <c r="F8" s="395">
        <v>10000</v>
      </c>
      <c r="G8" s="716">
        <f>F8/$T$12</f>
        <v>0.16666666666666666</v>
      </c>
      <c r="H8" s="396"/>
      <c r="I8" s="717">
        <f>H8/$T$12</f>
        <v>0</v>
      </c>
      <c r="J8" s="712">
        <f t="shared" ref="J8:J12" si="0">SUM(D8:I8)-I8-G8-E8</f>
        <v>19999.999999999996</v>
      </c>
      <c r="K8" s="46"/>
      <c r="L8" s="395">
        <v>10000</v>
      </c>
      <c r="M8" s="716">
        <f>L8/$T$12</f>
        <v>0.16666666666666666</v>
      </c>
      <c r="N8" s="395">
        <v>10000</v>
      </c>
      <c r="O8" s="716">
        <f>N8/$T$12</f>
        <v>0.16666666666666666</v>
      </c>
      <c r="P8" s="396"/>
      <c r="Q8" s="717">
        <f>P8/$T$12</f>
        <v>0</v>
      </c>
      <c r="R8" s="712">
        <f t="shared" ref="R8:R12" si="1">SUM(L8:Q8)-Q8-O8-M8</f>
        <v>19999.999999999996</v>
      </c>
      <c r="S8" s="46"/>
      <c r="T8" s="395">
        <v>10000</v>
      </c>
      <c r="U8" s="716">
        <f>T8/$T$12</f>
        <v>0.16666666666666666</v>
      </c>
      <c r="V8" s="395">
        <v>10000</v>
      </c>
      <c r="W8" s="716">
        <f>V8/$T$12</f>
        <v>0.16666666666666666</v>
      </c>
      <c r="X8" s="396"/>
      <c r="Y8" s="717">
        <f>X8/$T$12</f>
        <v>0</v>
      </c>
      <c r="Z8" s="712">
        <f t="shared" ref="Z8:Z12" si="2">SUM(T8:Y8)-Y8-W8-U8</f>
        <v>19999.999999999996</v>
      </c>
      <c r="AA8" s="46"/>
      <c r="AB8" s="395">
        <v>10000</v>
      </c>
      <c r="AC8" s="716">
        <f>AB8/$T$12</f>
        <v>0.16666666666666666</v>
      </c>
      <c r="AD8" s="395">
        <v>10000</v>
      </c>
      <c r="AE8" s="716">
        <f>AD8/$T$12</f>
        <v>0.16666666666666666</v>
      </c>
      <c r="AF8" s="396"/>
      <c r="AG8" s="717">
        <f>AF8/$T$12</f>
        <v>0</v>
      </c>
      <c r="AH8" s="712">
        <f t="shared" ref="AH8:AH12" si="3">SUM(AB8:AG8)-AG8-AE8-AC8</f>
        <v>19999.999999999996</v>
      </c>
      <c r="AI8" s="46"/>
      <c r="AJ8" s="395">
        <v>10000</v>
      </c>
      <c r="AK8" s="716">
        <f>AJ8/$T$12</f>
        <v>0.16666666666666666</v>
      </c>
      <c r="AL8" s="395">
        <v>10000</v>
      </c>
      <c r="AM8" s="716">
        <f>AL8/$T$12</f>
        <v>0.16666666666666666</v>
      </c>
      <c r="AN8" s="396"/>
      <c r="AO8" s="717">
        <f>AN8/$T$12</f>
        <v>0</v>
      </c>
      <c r="AP8" s="712">
        <f t="shared" ref="AP8:AP12" si="4">SUM(AJ8:AO8)-AO8-AM8-AK8</f>
        <v>19999.999999999996</v>
      </c>
    </row>
    <row r="9" spans="2:42" s="22" customFormat="1" ht="12.5" x14ac:dyDescent="0.25">
      <c r="B9" s="411" t="s">
        <v>326</v>
      </c>
      <c r="C9" s="46"/>
      <c r="D9" s="395"/>
      <c r="E9" s="716">
        <f>D9/$T$12</f>
        <v>0</v>
      </c>
      <c r="F9" s="395"/>
      <c r="G9" s="716">
        <f>F9/$T$12</f>
        <v>0</v>
      </c>
      <c r="H9" s="396">
        <v>35000</v>
      </c>
      <c r="I9" s="717">
        <f>H9/$T$12</f>
        <v>0.58333333333333337</v>
      </c>
      <c r="J9" s="712">
        <f t="shared" si="0"/>
        <v>35000</v>
      </c>
      <c r="K9" s="46"/>
      <c r="L9" s="395"/>
      <c r="M9" s="716">
        <f>L9/$T$12</f>
        <v>0</v>
      </c>
      <c r="N9" s="395"/>
      <c r="O9" s="716">
        <f>N9/$T$12</f>
        <v>0</v>
      </c>
      <c r="P9" s="396">
        <v>35000</v>
      </c>
      <c r="Q9" s="717">
        <f>P9/$T$12</f>
        <v>0.58333333333333337</v>
      </c>
      <c r="R9" s="712">
        <f t="shared" si="1"/>
        <v>35000</v>
      </c>
      <c r="S9" s="46"/>
      <c r="T9" s="395"/>
      <c r="U9" s="716">
        <f>T9/$T$12</f>
        <v>0</v>
      </c>
      <c r="V9" s="395"/>
      <c r="W9" s="716">
        <f>V9/$T$12</f>
        <v>0</v>
      </c>
      <c r="X9" s="396">
        <v>35000</v>
      </c>
      <c r="Y9" s="717">
        <f>X9/$T$12</f>
        <v>0.58333333333333337</v>
      </c>
      <c r="Z9" s="712">
        <f t="shared" si="2"/>
        <v>35000</v>
      </c>
      <c r="AA9" s="46"/>
      <c r="AB9" s="395"/>
      <c r="AC9" s="716">
        <f>AB9/$T$12</f>
        <v>0</v>
      </c>
      <c r="AD9" s="395"/>
      <c r="AE9" s="716">
        <f>AD9/$T$12</f>
        <v>0</v>
      </c>
      <c r="AF9" s="396">
        <v>35000</v>
      </c>
      <c r="AG9" s="717">
        <f>AF9/$T$12</f>
        <v>0.58333333333333337</v>
      </c>
      <c r="AH9" s="712">
        <f t="shared" si="3"/>
        <v>35000</v>
      </c>
      <c r="AI9" s="46"/>
      <c r="AJ9" s="395"/>
      <c r="AK9" s="716">
        <f>AJ9/$T$12</f>
        <v>0</v>
      </c>
      <c r="AL9" s="395"/>
      <c r="AM9" s="716">
        <f>AL9/$T$12</f>
        <v>0</v>
      </c>
      <c r="AN9" s="396">
        <v>35000</v>
      </c>
      <c r="AO9" s="717">
        <f>AN9/$T$12</f>
        <v>0.58333333333333337</v>
      </c>
      <c r="AP9" s="712">
        <f t="shared" si="4"/>
        <v>35000</v>
      </c>
    </row>
    <row r="10" spans="2:42" s="22" customFormat="1" ht="12.5" x14ac:dyDescent="0.25">
      <c r="B10" s="411" t="s">
        <v>326</v>
      </c>
      <c r="C10" s="46"/>
      <c r="D10" s="395"/>
      <c r="E10" s="716">
        <f>D10/$T$12</f>
        <v>0</v>
      </c>
      <c r="F10" s="395"/>
      <c r="G10" s="716">
        <f>F10/$T$12</f>
        <v>0</v>
      </c>
      <c r="H10" s="396"/>
      <c r="I10" s="717">
        <f>H10/$T$12</f>
        <v>0</v>
      </c>
      <c r="J10" s="712">
        <f t="shared" si="0"/>
        <v>0</v>
      </c>
      <c r="K10" s="46"/>
      <c r="L10" s="395"/>
      <c r="M10" s="716">
        <f>L10/$T$12</f>
        <v>0</v>
      </c>
      <c r="N10" s="395"/>
      <c r="O10" s="716">
        <f>N10/$T$12</f>
        <v>0</v>
      </c>
      <c r="P10" s="396"/>
      <c r="Q10" s="717">
        <f>P10/$T$12</f>
        <v>0</v>
      </c>
      <c r="R10" s="712">
        <f t="shared" si="1"/>
        <v>0</v>
      </c>
      <c r="S10" s="46"/>
      <c r="T10" s="395"/>
      <c r="U10" s="716">
        <f>T10/$T$12</f>
        <v>0</v>
      </c>
      <c r="V10" s="395"/>
      <c r="W10" s="716">
        <f>V10/$T$12</f>
        <v>0</v>
      </c>
      <c r="X10" s="396"/>
      <c r="Y10" s="717">
        <f>X10/$T$12</f>
        <v>0</v>
      </c>
      <c r="Z10" s="712">
        <f t="shared" si="2"/>
        <v>0</v>
      </c>
      <c r="AA10" s="46"/>
      <c r="AB10" s="395"/>
      <c r="AC10" s="716">
        <f>AB10/$T$12</f>
        <v>0</v>
      </c>
      <c r="AD10" s="395"/>
      <c r="AE10" s="716">
        <f>AD10/$T$12</f>
        <v>0</v>
      </c>
      <c r="AF10" s="396"/>
      <c r="AG10" s="717">
        <f>AF10/$T$12</f>
        <v>0</v>
      </c>
      <c r="AH10" s="712">
        <f t="shared" si="3"/>
        <v>0</v>
      </c>
      <c r="AI10" s="46"/>
      <c r="AJ10" s="395"/>
      <c r="AK10" s="716">
        <f>AJ10/$T$12</f>
        <v>0</v>
      </c>
      <c r="AL10" s="395"/>
      <c r="AM10" s="716">
        <f>AL10/$T$12</f>
        <v>0</v>
      </c>
      <c r="AN10" s="396"/>
      <c r="AO10" s="717">
        <f>AN10/$T$12</f>
        <v>0</v>
      </c>
      <c r="AP10" s="712">
        <f t="shared" si="4"/>
        <v>0</v>
      </c>
    </row>
    <row r="11" spans="2:42" s="22" customFormat="1" ht="12.5" x14ac:dyDescent="0.25">
      <c r="B11" s="411" t="s">
        <v>326</v>
      </c>
      <c r="C11" s="46"/>
      <c r="D11" s="395"/>
      <c r="E11" s="716">
        <f>D11/$T$12</f>
        <v>0</v>
      </c>
      <c r="F11" s="395"/>
      <c r="G11" s="716">
        <f>F11/$T$12</f>
        <v>0</v>
      </c>
      <c r="H11" s="396"/>
      <c r="I11" s="717">
        <f>H11/$T$12</f>
        <v>0</v>
      </c>
      <c r="J11" s="712">
        <f t="shared" si="0"/>
        <v>0</v>
      </c>
      <c r="K11" s="46"/>
      <c r="L11" s="395"/>
      <c r="M11" s="716">
        <f>L11/$T$12</f>
        <v>0</v>
      </c>
      <c r="N11" s="395"/>
      <c r="O11" s="716">
        <f>N11/$T$12</f>
        <v>0</v>
      </c>
      <c r="P11" s="396"/>
      <c r="Q11" s="717">
        <f>P11/$T$12</f>
        <v>0</v>
      </c>
      <c r="R11" s="712">
        <f t="shared" si="1"/>
        <v>0</v>
      </c>
      <c r="S11" s="46"/>
      <c r="T11" s="395"/>
      <c r="U11" s="716">
        <f>T11/$T$12</f>
        <v>0</v>
      </c>
      <c r="V11" s="395"/>
      <c r="W11" s="716">
        <f>V11/$T$12</f>
        <v>0</v>
      </c>
      <c r="X11" s="396"/>
      <c r="Y11" s="717">
        <f>X11/$T$12</f>
        <v>0</v>
      </c>
      <c r="Z11" s="712">
        <f t="shared" si="2"/>
        <v>0</v>
      </c>
      <c r="AA11" s="46"/>
      <c r="AB11" s="395"/>
      <c r="AC11" s="716">
        <f>AB11/$T$12</f>
        <v>0</v>
      </c>
      <c r="AD11" s="395"/>
      <c r="AE11" s="716">
        <f>AD11/$T$12</f>
        <v>0</v>
      </c>
      <c r="AF11" s="396"/>
      <c r="AG11" s="717">
        <f>AF11/$T$12</f>
        <v>0</v>
      </c>
      <c r="AH11" s="712">
        <f t="shared" si="3"/>
        <v>0</v>
      </c>
      <c r="AI11" s="46"/>
      <c r="AJ11" s="395"/>
      <c r="AK11" s="716">
        <f>AJ11/$T$12</f>
        <v>0</v>
      </c>
      <c r="AL11" s="395"/>
      <c r="AM11" s="716">
        <f>AL11/$T$12</f>
        <v>0</v>
      </c>
      <c r="AN11" s="396"/>
      <c r="AO11" s="717">
        <f>AN11/$T$12</f>
        <v>0</v>
      </c>
      <c r="AP11" s="712">
        <f t="shared" si="4"/>
        <v>0</v>
      </c>
    </row>
    <row r="12" spans="2:42" s="22" customFormat="1" ht="13" thickBot="1" x14ac:dyDescent="0.3">
      <c r="B12" s="47" t="s">
        <v>39</v>
      </c>
      <c r="C12" s="48"/>
      <c r="D12" s="412">
        <f>SUM(D7:D11)</f>
        <v>60000</v>
      </c>
      <c r="E12" s="718"/>
      <c r="F12" s="412">
        <f>SUM(F7:F11)</f>
        <v>60000</v>
      </c>
      <c r="G12" s="718"/>
      <c r="H12" s="413">
        <f>SUM(H7:H11)</f>
        <v>35000</v>
      </c>
      <c r="I12" s="719"/>
      <c r="J12" s="712">
        <f t="shared" si="0"/>
        <v>155000</v>
      </c>
      <c r="K12" s="48"/>
      <c r="L12" s="412">
        <f>SUM(L7:L11)</f>
        <v>60000</v>
      </c>
      <c r="M12" s="718"/>
      <c r="N12" s="412">
        <f>SUM(N7:N11)</f>
        <v>60000</v>
      </c>
      <c r="O12" s="718"/>
      <c r="P12" s="413">
        <f>SUM(P7:P11)</f>
        <v>35000</v>
      </c>
      <c r="Q12" s="719"/>
      <c r="R12" s="712">
        <f t="shared" si="1"/>
        <v>155000</v>
      </c>
      <c r="S12" s="48"/>
      <c r="T12" s="412">
        <f>SUM(T7:T11)</f>
        <v>60000</v>
      </c>
      <c r="U12" s="718"/>
      <c r="V12" s="412">
        <f>SUM(V7:V11)</f>
        <v>60000</v>
      </c>
      <c r="W12" s="718"/>
      <c r="X12" s="413">
        <f>SUM(X7:X11)</f>
        <v>35000</v>
      </c>
      <c r="Y12" s="719"/>
      <c r="Z12" s="712">
        <f t="shared" si="2"/>
        <v>155000</v>
      </c>
      <c r="AA12" s="48"/>
      <c r="AB12" s="412">
        <f>SUM(AB7:AB11)</f>
        <v>60000</v>
      </c>
      <c r="AC12" s="718"/>
      <c r="AD12" s="412">
        <f>SUM(AD7:AD11)</f>
        <v>60000</v>
      </c>
      <c r="AE12" s="718"/>
      <c r="AF12" s="413">
        <f>SUM(AF7:AF11)</f>
        <v>35000</v>
      </c>
      <c r="AG12" s="719"/>
      <c r="AH12" s="712">
        <f t="shared" si="3"/>
        <v>155000</v>
      </c>
      <c r="AI12" s="48"/>
      <c r="AJ12" s="412">
        <f>SUM(AJ7:AJ11)</f>
        <v>60000</v>
      </c>
      <c r="AK12" s="718"/>
      <c r="AL12" s="412">
        <f>SUM(AL7:AL11)</f>
        <v>60000</v>
      </c>
      <c r="AM12" s="718"/>
      <c r="AN12" s="413">
        <f>SUM(AN7:AN11)</f>
        <v>35000</v>
      </c>
      <c r="AO12" s="719"/>
      <c r="AP12" s="712">
        <f t="shared" si="4"/>
        <v>155000</v>
      </c>
    </row>
    <row r="13" spans="2:42" s="22" customFormat="1" ht="12.5" x14ac:dyDescent="0.25">
      <c r="B13" s="689" t="s">
        <v>368</v>
      </c>
      <c r="D13" s="690" t="b">
        <f>(D12+F12)='Saisie comptes'!D55</f>
        <v>0</v>
      </c>
      <c r="H13" s="22" t="b">
        <f>H12='Saisie comptes'!D49</f>
        <v>0</v>
      </c>
      <c r="L13" s="690" t="b">
        <f>(L12+N12)='Saisie comptes'!E55</f>
        <v>0</v>
      </c>
      <c r="P13" s="22" t="b">
        <f>P12='Saisie comptes'!E49</f>
        <v>0</v>
      </c>
      <c r="T13" s="690" t="b">
        <f>(T12+V12)='Saisie comptes'!F55</f>
        <v>0</v>
      </c>
      <c r="X13" s="22" t="b">
        <f>X12='Saisie comptes'!F49</f>
        <v>0</v>
      </c>
      <c r="AB13" s="690" t="b">
        <f>(AB12+AD12)='Saisie comptes'!G55</f>
        <v>0</v>
      </c>
      <c r="AF13" s="22" t="b">
        <f>AF12='Saisie comptes'!G49</f>
        <v>0</v>
      </c>
      <c r="AJ13" s="690" t="b">
        <f>(AJ12+AL12)='Saisie comptes'!H55</f>
        <v>0</v>
      </c>
      <c r="AN13" s="22" t="b">
        <f>AN12='Saisie comptes'!H49</f>
        <v>0</v>
      </c>
    </row>
    <row r="14" spans="2:42" s="22" customFormat="1" ht="12.5" x14ac:dyDescent="0.25"/>
    <row r="15" spans="2:42" s="152" customFormat="1" ht="15" thickBot="1" x14ac:dyDescent="0.4"/>
    <row r="16" spans="2:42" ht="15" thickBot="1" x14ac:dyDescent="0.4">
      <c r="B16" s="786" t="s">
        <v>372</v>
      </c>
      <c r="C16" s="39"/>
      <c r="D16" s="788">
        <f>D5</f>
        <v>2018</v>
      </c>
      <c r="E16" s="789"/>
      <c r="F16" s="789"/>
      <c r="G16" s="789"/>
      <c r="H16" s="789"/>
      <c r="I16" s="789"/>
      <c r="J16" s="790"/>
      <c r="K16" s="39"/>
      <c r="L16" s="788">
        <f>L5</f>
        <v>2019</v>
      </c>
      <c r="M16" s="789"/>
      <c r="N16" s="789"/>
      <c r="O16" s="789"/>
      <c r="P16" s="789"/>
      <c r="Q16" s="789"/>
      <c r="R16" s="790"/>
      <c r="S16" s="39"/>
      <c r="T16" s="788">
        <f>T5</f>
        <v>2020</v>
      </c>
      <c r="U16" s="789"/>
      <c r="V16" s="789"/>
      <c r="W16" s="789"/>
      <c r="X16" s="789"/>
      <c r="Y16" s="789"/>
      <c r="Z16" s="790"/>
      <c r="AA16" s="39"/>
      <c r="AB16" s="788">
        <f>AB5</f>
        <v>2021</v>
      </c>
      <c r="AC16" s="789"/>
      <c r="AD16" s="789"/>
      <c r="AE16" s="789"/>
      <c r="AF16" s="789"/>
      <c r="AG16" s="789"/>
      <c r="AH16" s="790"/>
      <c r="AI16" s="39"/>
      <c r="AJ16" s="788">
        <f>AJ5</f>
        <v>2022</v>
      </c>
      <c r="AK16" s="789"/>
      <c r="AL16" s="789"/>
      <c r="AM16" s="789"/>
      <c r="AN16" s="789"/>
      <c r="AO16" s="789"/>
      <c r="AP16" s="790"/>
    </row>
    <row r="17" spans="1:42" ht="50" x14ac:dyDescent="0.35">
      <c r="A17" s="780" t="s">
        <v>418</v>
      </c>
      <c r="B17" s="787"/>
      <c r="C17" s="45"/>
      <c r="D17" s="691" t="s">
        <v>373</v>
      </c>
      <c r="E17" s="714" t="s">
        <v>382</v>
      </c>
      <c r="F17" s="691" t="s">
        <v>374</v>
      </c>
      <c r="G17" s="720" t="s">
        <v>381</v>
      </c>
      <c r="H17" s="723"/>
      <c r="I17" s="724"/>
      <c r="J17" s="711" t="s">
        <v>39</v>
      </c>
      <c r="K17" s="45"/>
      <c r="L17" s="691" t="s">
        <v>373</v>
      </c>
      <c r="M17" s="714" t="s">
        <v>382</v>
      </c>
      <c r="N17" s="691" t="s">
        <v>374</v>
      </c>
      <c r="O17" s="720" t="s">
        <v>381</v>
      </c>
      <c r="P17" s="723"/>
      <c r="Q17" s="724"/>
      <c r="R17" s="711" t="s">
        <v>39</v>
      </c>
      <c r="S17" s="45"/>
      <c r="T17" s="691" t="s">
        <v>373</v>
      </c>
      <c r="U17" s="714" t="s">
        <v>382</v>
      </c>
      <c r="V17" s="691" t="s">
        <v>374</v>
      </c>
      <c r="W17" s="720" t="s">
        <v>381</v>
      </c>
      <c r="X17" s="723"/>
      <c r="Y17" s="724"/>
      <c r="Z17" s="711" t="s">
        <v>39</v>
      </c>
      <c r="AA17" s="45"/>
      <c r="AB17" s="691" t="s">
        <v>373</v>
      </c>
      <c r="AC17" s="714" t="s">
        <v>382</v>
      </c>
      <c r="AD17" s="691" t="s">
        <v>374</v>
      </c>
      <c r="AE17" s="720" t="s">
        <v>381</v>
      </c>
      <c r="AF17" s="723"/>
      <c r="AG17" s="724"/>
      <c r="AH17" s="711" t="s">
        <v>39</v>
      </c>
      <c r="AI17" s="45"/>
      <c r="AJ17" s="691" t="s">
        <v>373</v>
      </c>
      <c r="AK17" s="714" t="s">
        <v>382</v>
      </c>
      <c r="AL17" s="691" t="s">
        <v>374</v>
      </c>
      <c r="AM17" s="720" t="s">
        <v>381</v>
      </c>
      <c r="AN17" s="723"/>
      <c r="AO17" s="724"/>
      <c r="AP17" s="711" t="s">
        <v>39</v>
      </c>
    </row>
    <row r="18" spans="1:42" ht="25" x14ac:dyDescent="0.35">
      <c r="A18" s="781" t="s">
        <v>433</v>
      </c>
      <c r="B18" s="411" t="s">
        <v>106</v>
      </c>
      <c r="C18" s="46"/>
      <c r="D18" s="395">
        <v>50000</v>
      </c>
      <c r="E18" s="716">
        <f>D18/$T$12</f>
        <v>0.83333333333333337</v>
      </c>
      <c r="F18" s="395">
        <v>50000</v>
      </c>
      <c r="G18" s="721">
        <f>F18/$T$12</f>
        <v>0.83333333333333337</v>
      </c>
      <c r="H18" s="723"/>
      <c r="I18" s="724"/>
      <c r="J18" s="712">
        <f>SUM(D18:G18)</f>
        <v>100001.66666666667</v>
      </c>
      <c r="K18" s="46"/>
      <c r="L18" s="395">
        <v>50000</v>
      </c>
      <c r="M18" s="716">
        <f>L18/$T$12</f>
        <v>0.83333333333333337</v>
      </c>
      <c r="N18" s="395">
        <v>50000</v>
      </c>
      <c r="O18" s="721">
        <f>N18/$T$12</f>
        <v>0.83333333333333337</v>
      </c>
      <c r="P18" s="723"/>
      <c r="Q18" s="724"/>
      <c r="R18" s="712">
        <f>SUM(L18:O18)</f>
        <v>100001.66666666667</v>
      </c>
      <c r="S18" s="46"/>
      <c r="T18" s="395">
        <v>50000</v>
      </c>
      <c r="U18" s="716">
        <f>T18/$T$12</f>
        <v>0.83333333333333337</v>
      </c>
      <c r="V18" s="395">
        <v>50000</v>
      </c>
      <c r="W18" s="721">
        <f>V18/$T$12</f>
        <v>0.83333333333333337</v>
      </c>
      <c r="X18" s="723"/>
      <c r="Y18" s="724"/>
      <c r="Z18" s="712">
        <f>SUM(T18:W18)</f>
        <v>100001.66666666667</v>
      </c>
      <c r="AA18" s="46"/>
      <c r="AB18" s="395">
        <v>50000</v>
      </c>
      <c r="AC18" s="716">
        <f>AB18/$T$12</f>
        <v>0.83333333333333337</v>
      </c>
      <c r="AD18" s="395">
        <v>50000</v>
      </c>
      <c r="AE18" s="721">
        <f>AD18/$T$12</f>
        <v>0.83333333333333337</v>
      </c>
      <c r="AF18" s="723"/>
      <c r="AG18" s="724"/>
      <c r="AH18" s="712">
        <f>SUM(AB18:AE18)</f>
        <v>100001.66666666667</v>
      </c>
      <c r="AI18" s="46"/>
      <c r="AJ18" s="395">
        <v>50000</v>
      </c>
      <c r="AK18" s="716">
        <f>AJ18/$T$12</f>
        <v>0.83333333333333337</v>
      </c>
      <c r="AL18" s="395">
        <v>50000</v>
      </c>
      <c r="AM18" s="721">
        <f>AL18/$T$12</f>
        <v>0.83333333333333337</v>
      </c>
      <c r="AN18" s="723"/>
      <c r="AO18" s="724"/>
      <c r="AP18" s="712">
        <f>SUM(AJ18:AM18)</f>
        <v>100001.66666666667</v>
      </c>
    </row>
    <row r="19" spans="1:42" x14ac:dyDescent="0.35">
      <c r="A19" s="781"/>
      <c r="B19" s="693" t="s">
        <v>383</v>
      </c>
      <c r="C19" s="46"/>
      <c r="D19" s="694"/>
      <c r="E19" s="716">
        <f>D19/$T$12</f>
        <v>0</v>
      </c>
      <c r="F19" s="694"/>
      <c r="G19" s="721">
        <f t="shared" ref="G19:G25" si="5">F19/$T$12</f>
        <v>0</v>
      </c>
      <c r="H19" s="723"/>
      <c r="I19" s="724"/>
      <c r="J19" s="712"/>
      <c r="K19" s="46"/>
      <c r="L19" s="694"/>
      <c r="M19" s="716">
        <f>L19/$T$12</f>
        <v>0</v>
      </c>
      <c r="N19" s="694"/>
      <c r="O19" s="721">
        <f t="shared" ref="O19:O25" si="6">N19/$T$12</f>
        <v>0</v>
      </c>
      <c r="P19" s="723"/>
      <c r="Q19" s="724"/>
      <c r="R19" s="712"/>
      <c r="S19" s="46"/>
      <c r="T19" s="694"/>
      <c r="U19" s="716">
        <f>T19/$T$12</f>
        <v>0</v>
      </c>
      <c r="V19" s="694"/>
      <c r="W19" s="721">
        <f t="shared" ref="W19:W25" si="7">V19/$T$12</f>
        <v>0</v>
      </c>
      <c r="X19" s="723"/>
      <c r="Y19" s="724"/>
      <c r="Z19" s="712"/>
      <c r="AA19" s="46"/>
      <c r="AB19" s="694"/>
      <c r="AC19" s="716">
        <f>AB19/$T$12</f>
        <v>0</v>
      </c>
      <c r="AD19" s="694"/>
      <c r="AE19" s="721">
        <f t="shared" ref="AE19:AE25" si="8">AD19/$T$12</f>
        <v>0</v>
      </c>
      <c r="AF19" s="723"/>
      <c r="AG19" s="724"/>
      <c r="AH19" s="712"/>
      <c r="AI19" s="46"/>
      <c r="AJ19" s="694"/>
      <c r="AK19" s="716">
        <f>AJ19/$T$12</f>
        <v>0</v>
      </c>
      <c r="AL19" s="694"/>
      <c r="AM19" s="721">
        <f t="shared" ref="AM19:AM25" si="9">AL19/$T$12</f>
        <v>0</v>
      </c>
      <c r="AN19" s="723"/>
      <c r="AO19" s="724"/>
      <c r="AP19" s="712"/>
    </row>
    <row r="20" spans="1:42" x14ac:dyDescent="0.35">
      <c r="A20" s="781" t="s">
        <v>376</v>
      </c>
      <c r="B20" s="411" t="s">
        <v>29</v>
      </c>
      <c r="C20" s="46"/>
      <c r="D20" s="395">
        <v>10000</v>
      </c>
      <c r="E20" s="716">
        <f>D20/$T$12</f>
        <v>0.16666666666666666</v>
      </c>
      <c r="F20" s="395"/>
      <c r="G20" s="721">
        <f t="shared" si="5"/>
        <v>0</v>
      </c>
      <c r="H20" s="723"/>
      <c r="I20" s="724"/>
      <c r="J20" s="712">
        <f>SUM(D20:G20)</f>
        <v>10000.166666666666</v>
      </c>
      <c r="K20" s="46"/>
      <c r="L20" s="395">
        <v>10000</v>
      </c>
      <c r="M20" s="716">
        <f>L20/$T$12</f>
        <v>0.16666666666666666</v>
      </c>
      <c r="N20" s="395"/>
      <c r="O20" s="721">
        <f t="shared" si="6"/>
        <v>0</v>
      </c>
      <c r="P20" s="723"/>
      <c r="Q20" s="724"/>
      <c r="R20" s="712">
        <f>SUM(L20:O20)</f>
        <v>10000.166666666666</v>
      </c>
      <c r="S20" s="46"/>
      <c r="T20" s="395">
        <v>10000</v>
      </c>
      <c r="U20" s="716">
        <f>T20/$T$12</f>
        <v>0.16666666666666666</v>
      </c>
      <c r="V20" s="395"/>
      <c r="W20" s="721">
        <f t="shared" si="7"/>
        <v>0</v>
      </c>
      <c r="X20" s="723"/>
      <c r="Y20" s="724"/>
      <c r="Z20" s="712">
        <f>SUM(T20:W20)</f>
        <v>10000.166666666666</v>
      </c>
      <c r="AA20" s="46"/>
      <c r="AB20" s="395">
        <v>10000</v>
      </c>
      <c r="AC20" s="716">
        <f>AB20/$T$12</f>
        <v>0.16666666666666666</v>
      </c>
      <c r="AD20" s="395"/>
      <c r="AE20" s="721">
        <f t="shared" si="8"/>
        <v>0</v>
      </c>
      <c r="AF20" s="723"/>
      <c r="AG20" s="724"/>
      <c r="AH20" s="712">
        <f>SUM(AB20:AE20)</f>
        <v>10000.166666666666</v>
      </c>
      <c r="AI20" s="46"/>
      <c r="AJ20" s="395">
        <v>10000</v>
      </c>
      <c r="AK20" s="716">
        <f>AJ20/$T$12</f>
        <v>0.16666666666666666</v>
      </c>
      <c r="AL20" s="395"/>
      <c r="AM20" s="721">
        <f t="shared" si="9"/>
        <v>0</v>
      </c>
      <c r="AN20" s="723"/>
      <c r="AO20" s="724"/>
      <c r="AP20" s="712">
        <f>SUM(AJ20:AM20)</f>
        <v>10000.166666666666</v>
      </c>
    </row>
    <row r="21" spans="1:42" x14ac:dyDescent="0.35">
      <c r="A21" s="781"/>
      <c r="B21" s="693" t="s">
        <v>384</v>
      </c>
      <c r="C21" s="46"/>
      <c r="D21" s="694"/>
      <c r="E21" s="716">
        <f>D21/$T$12</f>
        <v>0</v>
      </c>
      <c r="F21" s="694">
        <v>10000</v>
      </c>
      <c r="G21" s="721">
        <f t="shared" si="5"/>
        <v>0.16666666666666666</v>
      </c>
      <c r="H21" s="723"/>
      <c r="I21" s="724"/>
      <c r="J21" s="712"/>
      <c r="K21" s="46"/>
      <c r="L21" s="694"/>
      <c r="M21" s="716">
        <f>L21/$T$12</f>
        <v>0</v>
      </c>
      <c r="N21" s="694">
        <v>10000</v>
      </c>
      <c r="O21" s="721">
        <f t="shared" si="6"/>
        <v>0.16666666666666666</v>
      </c>
      <c r="P21" s="723"/>
      <c r="Q21" s="724"/>
      <c r="R21" s="712"/>
      <c r="S21" s="46"/>
      <c r="T21" s="694"/>
      <c r="U21" s="716">
        <f>T21/$T$12</f>
        <v>0</v>
      </c>
      <c r="V21" s="694">
        <v>10000</v>
      </c>
      <c r="W21" s="721">
        <f t="shared" si="7"/>
        <v>0.16666666666666666</v>
      </c>
      <c r="X21" s="723"/>
      <c r="Y21" s="724"/>
      <c r="Z21" s="712"/>
      <c r="AA21" s="46"/>
      <c r="AB21" s="694"/>
      <c r="AC21" s="716">
        <f>AB21/$T$12</f>
        <v>0</v>
      </c>
      <c r="AD21" s="694">
        <v>10000</v>
      </c>
      <c r="AE21" s="721">
        <f t="shared" si="8"/>
        <v>0.16666666666666666</v>
      </c>
      <c r="AF21" s="723"/>
      <c r="AG21" s="724"/>
      <c r="AH21" s="712"/>
      <c r="AI21" s="46"/>
      <c r="AJ21" s="694"/>
      <c r="AK21" s="716">
        <f>AJ21/$T$12</f>
        <v>0</v>
      </c>
      <c r="AL21" s="694">
        <v>10000</v>
      </c>
      <c r="AM21" s="721">
        <f t="shared" si="9"/>
        <v>0.16666666666666666</v>
      </c>
      <c r="AN21" s="723"/>
      <c r="AO21" s="724"/>
      <c r="AP21" s="712"/>
    </row>
    <row r="22" spans="1:42" x14ac:dyDescent="0.35">
      <c r="A22" s="781" t="s">
        <v>377</v>
      </c>
      <c r="B22" s="411" t="s">
        <v>30</v>
      </c>
      <c r="C22" s="46"/>
      <c r="D22" s="395"/>
      <c r="E22" s="716">
        <f t="shared" ref="E22:E25" si="10">D22/$T$12</f>
        <v>0</v>
      </c>
      <c r="F22" s="395"/>
      <c r="G22" s="721">
        <f t="shared" si="5"/>
        <v>0</v>
      </c>
      <c r="H22" s="723"/>
      <c r="I22" s="724"/>
      <c r="J22" s="712"/>
      <c r="K22" s="46"/>
      <c r="L22" s="395"/>
      <c r="M22" s="716">
        <f t="shared" ref="M22:M25" si="11">L22/$T$12</f>
        <v>0</v>
      </c>
      <c r="N22" s="395"/>
      <c r="O22" s="721">
        <f t="shared" si="6"/>
        <v>0</v>
      </c>
      <c r="P22" s="723"/>
      <c r="Q22" s="724"/>
      <c r="R22" s="712"/>
      <c r="S22" s="46"/>
      <c r="T22" s="395"/>
      <c r="U22" s="716">
        <f t="shared" ref="U22:U25" si="12">T22/$T$12</f>
        <v>0</v>
      </c>
      <c r="V22" s="395"/>
      <c r="W22" s="721">
        <f t="shared" si="7"/>
        <v>0</v>
      </c>
      <c r="X22" s="723"/>
      <c r="Y22" s="724"/>
      <c r="Z22" s="712"/>
      <c r="AA22" s="46"/>
      <c r="AB22" s="395"/>
      <c r="AC22" s="716">
        <f t="shared" ref="AC22:AC25" si="13">AB22/$T$12</f>
        <v>0</v>
      </c>
      <c r="AD22" s="395"/>
      <c r="AE22" s="721">
        <f t="shared" si="8"/>
        <v>0</v>
      </c>
      <c r="AF22" s="723"/>
      <c r="AG22" s="724"/>
      <c r="AH22" s="712"/>
      <c r="AI22" s="46"/>
      <c r="AJ22" s="395"/>
      <c r="AK22" s="716">
        <f t="shared" ref="AK22:AK25" si="14">AJ22/$T$12</f>
        <v>0</v>
      </c>
      <c r="AL22" s="395"/>
      <c r="AM22" s="721">
        <f t="shared" si="9"/>
        <v>0</v>
      </c>
      <c r="AN22" s="723"/>
      <c r="AO22" s="724"/>
      <c r="AP22" s="712"/>
    </row>
    <row r="23" spans="1:42" x14ac:dyDescent="0.35">
      <c r="A23" s="781" t="s">
        <v>378</v>
      </c>
      <c r="B23" s="411" t="s">
        <v>375</v>
      </c>
      <c r="C23" s="46"/>
      <c r="D23" s="395">
        <v>10000</v>
      </c>
      <c r="E23" s="716">
        <f t="shared" si="10"/>
        <v>0.16666666666666666</v>
      </c>
      <c r="F23" s="395">
        <v>10000</v>
      </c>
      <c r="G23" s="721">
        <f t="shared" si="5"/>
        <v>0.16666666666666666</v>
      </c>
      <c r="H23" s="723"/>
      <c r="I23" s="724"/>
      <c r="J23" s="712"/>
      <c r="K23" s="46"/>
      <c r="L23" s="395">
        <v>10000</v>
      </c>
      <c r="M23" s="716">
        <f t="shared" si="11"/>
        <v>0.16666666666666666</v>
      </c>
      <c r="N23" s="395">
        <v>10000</v>
      </c>
      <c r="O23" s="721">
        <f t="shared" si="6"/>
        <v>0.16666666666666666</v>
      </c>
      <c r="P23" s="723"/>
      <c r="Q23" s="724"/>
      <c r="R23" s="712"/>
      <c r="S23" s="46"/>
      <c r="T23" s="395">
        <v>10000</v>
      </c>
      <c r="U23" s="716">
        <f t="shared" si="12"/>
        <v>0.16666666666666666</v>
      </c>
      <c r="V23" s="395">
        <v>10000</v>
      </c>
      <c r="W23" s="721">
        <f t="shared" si="7"/>
        <v>0.16666666666666666</v>
      </c>
      <c r="X23" s="723"/>
      <c r="Y23" s="724"/>
      <c r="Z23" s="712"/>
      <c r="AA23" s="46"/>
      <c r="AB23" s="395">
        <v>10000</v>
      </c>
      <c r="AC23" s="716">
        <f t="shared" si="13"/>
        <v>0.16666666666666666</v>
      </c>
      <c r="AD23" s="395">
        <v>10000</v>
      </c>
      <c r="AE23" s="721">
        <f t="shared" si="8"/>
        <v>0.16666666666666666</v>
      </c>
      <c r="AF23" s="723"/>
      <c r="AG23" s="724"/>
      <c r="AH23" s="712"/>
      <c r="AI23" s="46"/>
      <c r="AJ23" s="395">
        <v>10000</v>
      </c>
      <c r="AK23" s="716">
        <f t="shared" si="14"/>
        <v>0.16666666666666666</v>
      </c>
      <c r="AL23" s="395">
        <v>10000</v>
      </c>
      <c r="AM23" s="721">
        <f t="shared" si="9"/>
        <v>0.16666666666666666</v>
      </c>
      <c r="AN23" s="723"/>
      <c r="AO23" s="724"/>
      <c r="AP23" s="712"/>
    </row>
    <row r="24" spans="1:42" x14ac:dyDescent="0.35">
      <c r="A24" s="781" t="s">
        <v>379</v>
      </c>
      <c r="B24" s="411" t="s">
        <v>242</v>
      </c>
      <c r="C24" s="46"/>
      <c r="D24" s="395"/>
      <c r="E24" s="716">
        <f t="shared" si="10"/>
        <v>0</v>
      </c>
      <c r="F24" s="395"/>
      <c r="G24" s="721">
        <f t="shared" si="5"/>
        <v>0</v>
      </c>
      <c r="H24" s="723"/>
      <c r="I24" s="724"/>
      <c r="J24" s="712"/>
      <c r="K24" s="46"/>
      <c r="L24" s="395"/>
      <c r="M24" s="716">
        <f t="shared" si="11"/>
        <v>0</v>
      </c>
      <c r="N24" s="395"/>
      <c r="O24" s="721">
        <f t="shared" si="6"/>
        <v>0</v>
      </c>
      <c r="P24" s="723"/>
      <c r="Q24" s="724"/>
      <c r="R24" s="712"/>
      <c r="S24" s="46"/>
      <c r="T24" s="395"/>
      <c r="U24" s="716">
        <f t="shared" si="12"/>
        <v>0</v>
      </c>
      <c r="V24" s="395"/>
      <c r="W24" s="721">
        <f t="shared" si="7"/>
        <v>0</v>
      </c>
      <c r="X24" s="723"/>
      <c r="Y24" s="724"/>
      <c r="Z24" s="712"/>
      <c r="AA24" s="46"/>
      <c r="AB24" s="395"/>
      <c r="AC24" s="716">
        <f t="shared" si="13"/>
        <v>0</v>
      </c>
      <c r="AD24" s="395"/>
      <c r="AE24" s="721">
        <f t="shared" si="8"/>
        <v>0</v>
      </c>
      <c r="AF24" s="723"/>
      <c r="AG24" s="724"/>
      <c r="AH24" s="712"/>
      <c r="AI24" s="46"/>
      <c r="AJ24" s="395"/>
      <c r="AK24" s="716">
        <f t="shared" si="14"/>
        <v>0</v>
      </c>
      <c r="AL24" s="395"/>
      <c r="AM24" s="721">
        <f t="shared" si="9"/>
        <v>0</v>
      </c>
      <c r="AN24" s="723"/>
      <c r="AO24" s="724"/>
      <c r="AP24" s="712"/>
    </row>
    <row r="25" spans="1:42" ht="25" x14ac:dyDescent="0.35">
      <c r="A25" s="781" t="s">
        <v>380</v>
      </c>
      <c r="B25" s="411" t="s">
        <v>107</v>
      </c>
      <c r="C25" s="46"/>
      <c r="D25" s="395"/>
      <c r="E25" s="716">
        <f t="shared" si="10"/>
        <v>0</v>
      </c>
      <c r="F25" s="395"/>
      <c r="G25" s="721">
        <f t="shared" si="5"/>
        <v>0</v>
      </c>
      <c r="H25" s="723"/>
      <c r="I25" s="724"/>
      <c r="J25" s="712">
        <f>SUM(D25:G25)</f>
        <v>0</v>
      </c>
      <c r="K25" s="46"/>
      <c r="L25" s="395"/>
      <c r="M25" s="716">
        <f t="shared" si="11"/>
        <v>0</v>
      </c>
      <c r="N25" s="395"/>
      <c r="O25" s="721">
        <f t="shared" si="6"/>
        <v>0</v>
      </c>
      <c r="P25" s="723"/>
      <c r="Q25" s="724"/>
      <c r="R25" s="712">
        <f>SUM(L25:O25)</f>
        <v>0</v>
      </c>
      <c r="S25" s="46"/>
      <c r="T25" s="395"/>
      <c r="U25" s="716">
        <f t="shared" si="12"/>
        <v>0</v>
      </c>
      <c r="V25" s="395"/>
      <c r="W25" s="721">
        <f t="shared" si="7"/>
        <v>0</v>
      </c>
      <c r="X25" s="723"/>
      <c r="Y25" s="724"/>
      <c r="Z25" s="712">
        <f>SUM(T25:W25)</f>
        <v>0</v>
      </c>
      <c r="AA25" s="46"/>
      <c r="AB25" s="395"/>
      <c r="AC25" s="716">
        <f t="shared" si="13"/>
        <v>0</v>
      </c>
      <c r="AD25" s="395"/>
      <c r="AE25" s="721">
        <f t="shared" si="8"/>
        <v>0</v>
      </c>
      <c r="AF25" s="723"/>
      <c r="AG25" s="724"/>
      <c r="AH25" s="712">
        <f>SUM(AB25:AE25)</f>
        <v>0</v>
      </c>
      <c r="AI25" s="46"/>
      <c r="AJ25" s="395"/>
      <c r="AK25" s="716">
        <f t="shared" si="14"/>
        <v>0</v>
      </c>
      <c r="AL25" s="395"/>
      <c r="AM25" s="721">
        <f t="shared" si="9"/>
        <v>0</v>
      </c>
      <c r="AN25" s="723"/>
      <c r="AO25" s="724"/>
      <c r="AP25" s="712">
        <f>SUM(AJ25:AM25)</f>
        <v>0</v>
      </c>
    </row>
    <row r="26" spans="1:42" ht="15" thickBot="1" x14ac:dyDescent="0.4">
      <c r="B26" s="47" t="s">
        <v>39</v>
      </c>
      <c r="C26" s="48"/>
      <c r="D26" s="412">
        <f>SUM(D18:D25)-D19-D21</f>
        <v>70000</v>
      </c>
      <c r="E26" s="718"/>
      <c r="F26" s="412">
        <f>SUM(F18:F25)-F19-F21</f>
        <v>60000</v>
      </c>
      <c r="G26" s="722"/>
      <c r="H26" s="725"/>
      <c r="I26" s="726"/>
      <c r="J26" s="713">
        <f>SUM(D26:G26)</f>
        <v>130000</v>
      </c>
      <c r="K26" s="48"/>
      <c r="L26" s="412">
        <f>SUM(L18:L25)-L19-L21</f>
        <v>70000</v>
      </c>
      <c r="M26" s="718"/>
      <c r="N26" s="412">
        <f>SUM(N18:N25)-N19-N21</f>
        <v>60000</v>
      </c>
      <c r="O26" s="722"/>
      <c r="P26" s="725"/>
      <c r="Q26" s="726"/>
      <c r="R26" s="713">
        <f>SUM(L26:O26)</f>
        <v>130000</v>
      </c>
      <c r="S26" s="48"/>
      <c r="T26" s="412">
        <f>SUM(T18:T25)-T19-T21</f>
        <v>70000</v>
      </c>
      <c r="U26" s="718"/>
      <c r="V26" s="412">
        <f>SUM(V18:V25)-V19-V21</f>
        <v>60000</v>
      </c>
      <c r="W26" s="722"/>
      <c r="X26" s="725"/>
      <c r="Y26" s="726"/>
      <c r="Z26" s="713">
        <f>SUM(T26:W26)</f>
        <v>130000</v>
      </c>
      <c r="AA26" s="48"/>
      <c r="AB26" s="412">
        <f>SUM(AB18:AB25)-AB19-AB21</f>
        <v>70000</v>
      </c>
      <c r="AC26" s="718"/>
      <c r="AD26" s="412">
        <f>SUM(AD18:AD25)-AD19-AD21</f>
        <v>60000</v>
      </c>
      <c r="AE26" s="722"/>
      <c r="AF26" s="725"/>
      <c r="AG26" s="726"/>
      <c r="AH26" s="713">
        <f>SUM(AB26:AE26)</f>
        <v>130000</v>
      </c>
      <c r="AI26" s="48"/>
      <c r="AJ26" s="412">
        <f>SUM(AJ18:AJ25)-AJ19-AJ21</f>
        <v>70000</v>
      </c>
      <c r="AK26" s="718"/>
      <c r="AL26" s="412">
        <f>SUM(AL18:AL25)-AL19-AL21</f>
        <v>60000</v>
      </c>
      <c r="AM26" s="722"/>
      <c r="AN26" s="725"/>
      <c r="AO26" s="726"/>
      <c r="AP26" s="713">
        <f>SUM(AJ26:AM26)</f>
        <v>130000</v>
      </c>
    </row>
    <row r="27" spans="1:42" x14ac:dyDescent="0.35">
      <c r="D27" t="b">
        <f>(D26+F26)='Saisie comptes'!D77</f>
        <v>0</v>
      </c>
      <c r="L27" t="b">
        <f>(L26+N26)='Saisie comptes'!E77</f>
        <v>0</v>
      </c>
      <c r="T27" t="b">
        <f>(T26+V26)='Saisie comptes'!F77</f>
        <v>0</v>
      </c>
      <c r="AB27" t="b">
        <f>(AB26+AD26)='Saisie comptes'!G77</f>
        <v>0</v>
      </c>
      <c r="AJ27" t="b">
        <f>(AJ26+AL26)='Saisie comptes'!H77</f>
        <v>0</v>
      </c>
    </row>
  </sheetData>
  <mergeCells count="13">
    <mergeCell ref="AB5:AH5"/>
    <mergeCell ref="AB16:AH16"/>
    <mergeCell ref="AJ5:AP5"/>
    <mergeCell ref="AJ16:AP16"/>
    <mergeCell ref="D5:J5"/>
    <mergeCell ref="D16:J16"/>
    <mergeCell ref="L5:R5"/>
    <mergeCell ref="L16:R16"/>
    <mergeCell ref="B3:Z3"/>
    <mergeCell ref="B16:B17"/>
    <mergeCell ref="B5:B6"/>
    <mergeCell ref="T16:Z16"/>
    <mergeCell ref="T5:Z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2"/>
  <sheetViews>
    <sheetView topLeftCell="A67" zoomScaleNormal="100" workbookViewId="0">
      <selection activeCell="B45" sqref="B45:H45"/>
    </sheetView>
  </sheetViews>
  <sheetFormatPr baseColWidth="10" defaultColWidth="11.453125" defaultRowHeight="12.5" x14ac:dyDescent="0.25"/>
  <cols>
    <col min="1" max="1" width="6.6328125" style="22" customWidth="1"/>
    <col min="2" max="2" width="68.6328125" style="22" customWidth="1"/>
    <col min="3" max="3" width="2.6328125" style="22" customWidth="1"/>
    <col min="4" max="7" width="13.08984375" style="22" bestFit="1" customWidth="1"/>
    <col min="8" max="8" width="13" style="22" bestFit="1" customWidth="1"/>
    <col min="9" max="9" width="11.6328125" style="22" customWidth="1"/>
    <col min="10" max="10" width="36.6328125" style="22" customWidth="1"/>
    <col min="11" max="15" width="11.6328125" style="22" bestFit="1" customWidth="1"/>
    <col min="16" max="16384" width="11.453125" style="22"/>
  </cols>
  <sheetData>
    <row r="1" spans="1:15" x14ac:dyDescent="0.25">
      <c r="A1" s="18"/>
      <c r="B1" s="18"/>
      <c r="C1" s="18"/>
      <c r="D1" s="18"/>
      <c r="E1" s="18"/>
      <c r="F1" s="18"/>
      <c r="G1" s="18"/>
      <c r="H1" s="18"/>
      <c r="I1" s="18"/>
      <c r="J1" s="18"/>
      <c r="K1" s="18"/>
      <c r="L1" s="18"/>
      <c r="M1" s="18"/>
      <c r="N1" s="18"/>
      <c r="O1" s="18"/>
    </row>
    <row r="3" spans="1:15" x14ac:dyDescent="0.25">
      <c r="B3" s="49" t="s">
        <v>310</v>
      </c>
      <c r="C3" s="53"/>
      <c r="D3" s="53"/>
      <c r="E3" s="53"/>
      <c r="F3" s="53"/>
      <c r="G3" s="53"/>
      <c r="H3" s="53"/>
    </row>
    <row r="5" spans="1:15" ht="13" thickBot="1" x14ac:dyDescent="0.3"/>
    <row r="6" spans="1:15" ht="13" thickBot="1" x14ac:dyDescent="0.3">
      <c r="B6" s="146" t="s">
        <v>286</v>
      </c>
      <c r="D6" s="217">
        <f>'Saisie comptes'!D4</f>
        <v>2018</v>
      </c>
      <c r="E6" s="186">
        <f>'Saisie comptes'!E4</f>
        <v>2019</v>
      </c>
      <c r="F6" s="217">
        <f>'Saisie comptes'!F4</f>
        <v>2020</v>
      </c>
      <c r="G6" s="186">
        <f>'Saisie comptes'!G4</f>
        <v>2021</v>
      </c>
      <c r="H6" s="218">
        <f>'Saisie comptes'!H4</f>
        <v>2022</v>
      </c>
      <c r="I6" s="218" t="s">
        <v>358</v>
      </c>
    </row>
    <row r="7" spans="1:15" ht="5" customHeight="1" thickBot="1" x14ac:dyDescent="0.3"/>
    <row r="8" spans="1:15" x14ac:dyDescent="0.25">
      <c r="B8" s="59" t="s">
        <v>284</v>
      </c>
      <c r="D8" s="147">
        <f>'Saisie comptes'!D40</f>
        <v>0</v>
      </c>
      <c r="E8" s="148">
        <f>'Saisie comptes'!E40</f>
        <v>0</v>
      </c>
      <c r="F8" s="147">
        <f>'Saisie comptes'!F40</f>
        <v>0</v>
      </c>
      <c r="G8" s="148">
        <f>'Saisie comptes'!G40</f>
        <v>0</v>
      </c>
      <c r="H8" s="200">
        <f>'Saisie comptes'!H40</f>
        <v>0</v>
      </c>
      <c r="I8" s="200">
        <f>AVERAGE(D8:H8)</f>
        <v>0</v>
      </c>
    </row>
    <row r="9" spans="1:15" x14ac:dyDescent="0.25">
      <c r="B9" s="33" t="s">
        <v>283</v>
      </c>
      <c r="D9" s="149">
        <f>'Saisie comptes'!D41</f>
        <v>0</v>
      </c>
      <c r="E9" s="130">
        <f>'Saisie comptes'!E41</f>
        <v>0</v>
      </c>
      <c r="F9" s="149">
        <f>'Saisie comptes'!F41</f>
        <v>0</v>
      </c>
      <c r="G9" s="130">
        <f>'Saisie comptes'!G41</f>
        <v>0</v>
      </c>
      <c r="H9" s="153">
        <f>'Saisie comptes'!H41</f>
        <v>0</v>
      </c>
      <c r="I9" s="153">
        <f t="shared" ref="I9:I10" si="0">AVERAGE(D9:H9)</f>
        <v>0</v>
      </c>
    </row>
    <row r="10" spans="1:15" ht="13" thickBot="1" x14ac:dyDescent="0.3">
      <c r="B10" s="60" t="s">
        <v>285</v>
      </c>
      <c r="D10" s="150">
        <f>'Saisie comptes'!D42</f>
        <v>0</v>
      </c>
      <c r="E10" s="151">
        <f>'Saisie comptes'!E42</f>
        <v>0</v>
      </c>
      <c r="F10" s="150">
        <f>'Saisie comptes'!F42</f>
        <v>0</v>
      </c>
      <c r="G10" s="151">
        <f>'Saisie comptes'!G42</f>
        <v>0</v>
      </c>
      <c r="H10" s="226">
        <f>'Saisie comptes'!H42</f>
        <v>0</v>
      </c>
      <c r="I10" s="226">
        <f t="shared" si="0"/>
        <v>0</v>
      </c>
    </row>
    <row r="11" spans="1:15" ht="13" thickBot="1" x14ac:dyDescent="0.3"/>
    <row r="12" spans="1:15" ht="13.5" thickBot="1" x14ac:dyDescent="0.35">
      <c r="B12" s="146" t="s">
        <v>287</v>
      </c>
      <c r="J12" s="757" t="str">
        <f>"délais prévu pour "&amp;'Saisie plan de financement'!D26</f>
        <v>délais prévu pour 2023</v>
      </c>
    </row>
    <row r="13" spans="1:15" ht="6" customHeight="1" thickBot="1" x14ac:dyDescent="0.35">
      <c r="J13" s="757"/>
    </row>
    <row r="14" spans="1:15" x14ac:dyDescent="0.25">
      <c r="B14" s="697" t="s">
        <v>288</v>
      </c>
      <c r="D14" s="759" t="e">
        <f>('Saisie comptes'!D11/('Saisie comptes'!D49+'Saisie comptes'!D50*1.021+'Saisie comptes'!D51*1.055+'Saisie comptes'!D52*1.1+'Saisie comptes'!D53*1.2)*360)</f>
        <v>#DIV/0!</v>
      </c>
      <c r="E14" s="759" t="e">
        <f>('Saisie comptes'!E11/('Saisie comptes'!E49+'Saisie comptes'!E50*1.021+'Saisie comptes'!E51*1.055+'Saisie comptes'!E52*1.1+'Saisie comptes'!E53*1.2)*360)</f>
        <v>#DIV/0!</v>
      </c>
      <c r="F14" s="759" t="e">
        <f>('Saisie comptes'!F11/('Saisie comptes'!F49+'Saisie comptes'!F50*1.021+'Saisie comptes'!F51*1.055+'Saisie comptes'!F52*1.1+'Saisie comptes'!F53*1.2)*360)</f>
        <v>#DIV/0!</v>
      </c>
      <c r="G14" s="759" t="e">
        <f>('Saisie comptes'!G11/('Saisie comptes'!G49+'Saisie comptes'!G50*1.021+'Saisie comptes'!G51*1.055+'Saisie comptes'!G52*1.1+'Saisie comptes'!G53*1.2)*360)</f>
        <v>#DIV/0!</v>
      </c>
      <c r="H14" s="759" t="e">
        <f>('Saisie comptes'!H11/('Saisie comptes'!H49+'Saisie comptes'!H50*1.021+'Saisie comptes'!H51*1.055+'Saisie comptes'!H52*1.1+'Saisie comptes'!H53*1.2)*360)</f>
        <v>#DIV/0!</v>
      </c>
      <c r="I14" s="760" t="e">
        <f t="shared" ref="I14:I18" si="1">AVERAGE(D14:H14)</f>
        <v>#DIV/0!</v>
      </c>
      <c r="J14" s="758">
        <f>+'Saisie plan de financement'!D31</f>
        <v>80</v>
      </c>
    </row>
    <row r="15" spans="1:15" x14ac:dyDescent="0.25">
      <c r="B15" s="697" t="s">
        <v>438</v>
      </c>
      <c r="D15" s="734" t="e">
        <f>('Saisie comptes'!D12/'Saisie comptes'!D55)*360</f>
        <v>#DIV/0!</v>
      </c>
      <c r="E15" s="735" t="e">
        <f>('Saisie comptes'!E12/'Saisie comptes'!E55)*360</f>
        <v>#DIV/0!</v>
      </c>
      <c r="F15" s="734" t="e">
        <f>('Saisie comptes'!F12/'Saisie comptes'!F55)*360</f>
        <v>#DIV/0!</v>
      </c>
      <c r="G15" s="735" t="e">
        <f>('Saisie comptes'!G12/'Saisie comptes'!G55)*360</f>
        <v>#DIV/0!</v>
      </c>
      <c r="H15" s="736" t="e">
        <f>('Saisie comptes'!H12/'Saisie comptes'!H55)*360</f>
        <v>#DIV/0!</v>
      </c>
      <c r="I15" s="736" t="e">
        <f t="shared" si="1"/>
        <v>#DIV/0!</v>
      </c>
      <c r="J15" s="758">
        <f>'Saisie plan de financement'!D33</f>
        <v>70</v>
      </c>
    </row>
    <row r="16" spans="1:15" x14ac:dyDescent="0.25">
      <c r="B16" s="697" t="s">
        <v>301</v>
      </c>
      <c r="D16" s="734" t="e">
        <f>'Saisie comptes'!D14/('Saisie comptes'!D56+'Saisie comptes'!D57)*360</f>
        <v>#DIV/0!</v>
      </c>
      <c r="E16" s="735" t="e">
        <f>'Saisie comptes'!E14/('Saisie comptes'!E56+'Saisie comptes'!E57)*360</f>
        <v>#DIV/0!</v>
      </c>
      <c r="F16" s="734" t="e">
        <f>'Saisie comptes'!F14/('Saisie comptes'!F56+'Saisie comptes'!F57)*360</f>
        <v>#DIV/0!</v>
      </c>
      <c r="G16" s="735" t="e">
        <f>'Saisie comptes'!G14/('Saisie comptes'!G56+'Saisie comptes'!G57)*360</f>
        <v>#DIV/0!</v>
      </c>
      <c r="H16" s="736" t="e">
        <f>'Saisie comptes'!H14/('Saisie comptes'!H56+'Saisie comptes'!H57)*360</f>
        <v>#DIV/0!</v>
      </c>
      <c r="I16" s="736" t="e">
        <f t="shared" si="1"/>
        <v>#DIV/0!</v>
      </c>
      <c r="J16" s="758">
        <f>'Saisie plan de financement'!D35</f>
        <v>40</v>
      </c>
    </row>
    <row r="17" spans="2:10" x14ac:dyDescent="0.25">
      <c r="B17" s="33" t="s">
        <v>456</v>
      </c>
      <c r="D17" s="761" t="e">
        <f>('Saisie comptes'!D31/('Saisie comptes'!D64*(1+'Données Générales'!$D$16))*360)</f>
        <v>#DIV/0!</v>
      </c>
      <c r="E17" s="736" t="e">
        <f>('Saisie comptes'!E31/('Saisie comptes'!E64*(1+'Données Générales'!$D$16))*360)</f>
        <v>#DIV/0!</v>
      </c>
      <c r="F17" s="736" t="e">
        <f>('Saisie comptes'!F31/('Saisie comptes'!F64*(1+'Données Générales'!$D$16))*360)</f>
        <v>#DIV/0!</v>
      </c>
      <c r="G17" s="736" t="e">
        <f>('Saisie comptes'!G31/('Saisie comptes'!G64*(1+'Données Générales'!$D$16))*360)</f>
        <v>#DIV/0!</v>
      </c>
      <c r="H17" s="736" t="e">
        <f>('Saisie comptes'!H31/('Saisie comptes'!H64*(1+'Données Générales'!$D$16))*360)</f>
        <v>#DIV/0!</v>
      </c>
      <c r="I17" s="736" t="e">
        <f t="shared" si="1"/>
        <v>#DIV/0!</v>
      </c>
      <c r="J17" s="758">
        <f>'Saisie plan de financement'!D37</f>
        <v>56</v>
      </c>
    </row>
    <row r="18" spans="2:10" ht="13" thickBot="1" x14ac:dyDescent="0.3">
      <c r="B18" s="705" t="s">
        <v>289</v>
      </c>
      <c r="D18" s="737" t="e">
        <f>360*'Saisie comptes'!D33/('Saisie comptes'!D66+'Saisie comptes'!D69+'Saisie comptes'!D65+'Saisie comptes'!D100)</f>
        <v>#DIV/0!</v>
      </c>
      <c r="E18" s="738" t="e">
        <f>360*'Saisie comptes'!E33/('Saisie comptes'!E66+'Saisie comptes'!E69+'Saisie comptes'!E65+'Saisie comptes'!E100)</f>
        <v>#DIV/0!</v>
      </c>
      <c r="F18" s="737" t="e">
        <f>360*'Saisie comptes'!F33/('Saisie comptes'!F66+'Saisie comptes'!F69+'Saisie comptes'!F65+'Saisie comptes'!F100)</f>
        <v>#DIV/0!</v>
      </c>
      <c r="G18" s="738" t="e">
        <f>360*'Saisie comptes'!G33/('Saisie comptes'!G66+'Saisie comptes'!G69+'Saisie comptes'!G65+'Saisie comptes'!G100)</f>
        <v>#DIV/0!</v>
      </c>
      <c r="H18" s="739" t="e">
        <f>360*'Saisie comptes'!H33/('Saisie comptes'!H66+'Saisie comptes'!H69+'Saisie comptes'!H65+'Saisie comptes'!H100)</f>
        <v>#DIV/0!</v>
      </c>
      <c r="I18" s="739" t="e">
        <f t="shared" si="1"/>
        <v>#DIV/0!</v>
      </c>
      <c r="J18" s="758">
        <f>'Saisie plan de financement'!D40</f>
        <v>56</v>
      </c>
    </row>
    <row r="19" spans="2:10" ht="13" thickBot="1" x14ac:dyDescent="0.3"/>
    <row r="20" spans="2:10" ht="13" thickBot="1" x14ac:dyDescent="0.3">
      <c r="B20" s="146" t="s">
        <v>323</v>
      </c>
    </row>
    <row r="21" spans="2:10" ht="5.75" customHeight="1" thickBot="1" x14ac:dyDescent="0.3"/>
    <row r="22" spans="2:10" x14ac:dyDescent="0.25">
      <c r="B22" s="59" t="s">
        <v>325</v>
      </c>
      <c r="D22" s="147">
        <f>'Saisie comptes'!D9</f>
        <v>0</v>
      </c>
      <c r="E22" s="148">
        <f>'Saisie comptes'!E9</f>
        <v>0</v>
      </c>
      <c r="F22" s="147">
        <f>'Saisie comptes'!F9</f>
        <v>0</v>
      </c>
      <c r="G22" s="148">
        <f>'Saisie comptes'!G9</f>
        <v>0</v>
      </c>
      <c r="H22" s="200">
        <f>'Saisie comptes'!H9</f>
        <v>0</v>
      </c>
      <c r="I22" s="200"/>
    </row>
    <row r="23" spans="2:10" ht="13" thickBot="1" x14ac:dyDescent="0.3">
      <c r="B23" s="60" t="s">
        <v>324</v>
      </c>
      <c r="D23" s="329" t="e">
        <f>'Saisie comptes'!D7/'Saisie comptes'!D18</f>
        <v>#DIV/0!</v>
      </c>
      <c r="E23" s="330" t="e">
        <f>'Saisie comptes'!E7/'Saisie comptes'!E18</f>
        <v>#DIV/0!</v>
      </c>
      <c r="F23" s="329" t="e">
        <f>'Saisie comptes'!F7/'Saisie comptes'!F18</f>
        <v>#DIV/0!</v>
      </c>
      <c r="G23" s="330" t="e">
        <f>'Saisie comptes'!G7/'Saisie comptes'!G18</f>
        <v>#DIV/0!</v>
      </c>
      <c r="H23" s="331" t="e">
        <f>'Saisie comptes'!H7/'Saisie comptes'!H18</f>
        <v>#DIV/0!</v>
      </c>
      <c r="I23" s="331" t="e">
        <f t="shared" ref="I23" si="2">AVERAGE(D23:H23)</f>
        <v>#DIV/0!</v>
      </c>
    </row>
    <row r="24" spans="2:10" ht="13" thickBot="1" x14ac:dyDescent="0.3"/>
    <row r="25" spans="2:10" ht="13" thickBot="1" x14ac:dyDescent="0.3">
      <c r="B25" s="146" t="s">
        <v>290</v>
      </c>
    </row>
    <row r="26" spans="2:10" ht="5.75" customHeight="1" thickBot="1" x14ac:dyDescent="0.3"/>
    <row r="27" spans="2:10" x14ac:dyDescent="0.25">
      <c r="B27" s="740" t="s">
        <v>396</v>
      </c>
      <c r="D27" s="147" t="str">
        <f>IF(AND('Saisie comptes'!D25="",'Saisie comptes'!D27=0,'Saisie comptes'!D40=0),"",IF('Saisie comptes'!D27&lt;0,"Très grave","Non"))</f>
        <v/>
      </c>
      <c r="E27" s="148" t="str">
        <f>IF(AND('Saisie comptes'!E25="",'Saisie comptes'!E27=0,'Saisie comptes'!E40=0),"",IF('Saisie comptes'!E27&lt;0,"Très grave","Non"))</f>
        <v/>
      </c>
      <c r="F27" s="147" t="str">
        <f>IF(AND('Saisie comptes'!F25="",'Saisie comptes'!F27=0,'Saisie comptes'!F40=0),"",IF('Saisie comptes'!F27&lt;0,"Très grave","Non"))</f>
        <v/>
      </c>
      <c r="G27" s="148" t="str">
        <f>IF(AND('Saisie comptes'!G25="",'Saisie comptes'!G27=0,'Saisie comptes'!G40=0),"",IF('Saisie comptes'!G27&lt;0,"Très grave","Non"))</f>
        <v/>
      </c>
      <c r="H27" s="200" t="str">
        <f>IF(AND('Saisie comptes'!H25="",'Saisie comptes'!H27=0,'Saisie comptes'!H40=0),"",IF('Saisie comptes'!H27&lt;0,"Très grave","Non"))</f>
        <v/>
      </c>
      <c r="I27" s="755"/>
      <c r="J27" s="792" t="s">
        <v>440</v>
      </c>
    </row>
    <row r="28" spans="2:10" x14ac:dyDescent="0.25">
      <c r="B28" s="741" t="s">
        <v>439</v>
      </c>
      <c r="D28" s="149" t="str">
        <f>IF(D9&lt;0,"Très grave","Non")</f>
        <v>Non</v>
      </c>
      <c r="E28" s="130" t="str">
        <f>IF(E9&lt;0,"Très grave","Non")</f>
        <v>Non</v>
      </c>
      <c r="F28" s="149" t="str">
        <f>IF(F9&lt;0,"Très grave","Non")</f>
        <v>Non</v>
      </c>
      <c r="G28" s="130" t="str">
        <f>IF(G9&lt;0,"Très grave","Non")</f>
        <v>Non</v>
      </c>
      <c r="H28" s="153" t="str">
        <f>IF(H9&lt;0,"Très grave","Non")</f>
        <v>Non</v>
      </c>
      <c r="I28" s="756"/>
      <c r="J28" s="792"/>
    </row>
    <row r="29" spans="2:10" x14ac:dyDescent="0.25">
      <c r="B29" s="33" t="s">
        <v>296</v>
      </c>
      <c r="D29" s="316"/>
      <c r="E29" s="742" t="str">
        <f>IF('Saisie comptes'!D27=0,"-",('Saisie comptes'!E27-'Saisie comptes'!D27)/'Saisie comptes'!D27)</f>
        <v>-</v>
      </c>
      <c r="F29" s="314" t="str">
        <f>IF('Saisie comptes'!E27=0,"-",('Saisie comptes'!F27-'Saisie comptes'!E27)/'Saisie comptes'!E27)</f>
        <v>-</v>
      </c>
      <c r="G29" s="314" t="str">
        <f>IF('Saisie comptes'!F27=0,"-",('Saisie comptes'!G27-'Saisie comptes'!F27)/'Saisie comptes'!F27)</f>
        <v>-</v>
      </c>
      <c r="H29" s="315" t="str">
        <f>IF('Saisie comptes'!G27=0,"-",('Saisie comptes'!H27-'Saisie comptes'!G27)/'Saisie comptes'!G27)</f>
        <v>-</v>
      </c>
      <c r="I29" s="315" t="e">
        <f>IF(AND('Saisie comptes'!F27="",'Saisie comptes'!G27="",'Saisie comptes'!H27=""),"Ok",IF('Saisie comptes'!H27*100/(AVERAGE('Saisie comptes'!F27:G27))&lt;70,"Grave","Ok"))</f>
        <v>#DIV/0!</v>
      </c>
      <c r="J29" s="22" t="s">
        <v>297</v>
      </c>
    </row>
    <row r="30" spans="2:10" x14ac:dyDescent="0.25">
      <c r="B30" s="188" t="s">
        <v>362</v>
      </c>
      <c r="D30" s="317" t="e">
        <f>IF('Saisie comptes'!D77=0,"",'Synthèse analyse'!D10/('Saisie comptes'!D77-'Saisie comptes'!D73))*360</f>
        <v>#VALUE!</v>
      </c>
      <c r="E30" s="317" t="e">
        <f>IF('Saisie comptes'!E77=0,"",'Synthèse analyse'!E10/('Saisie comptes'!E77-'Saisie comptes'!E73))*360</f>
        <v>#VALUE!</v>
      </c>
      <c r="F30" s="317" t="e">
        <f>IF('Saisie comptes'!F77=0,"",'Synthèse analyse'!F10/('Saisie comptes'!F77-'Saisie comptes'!F73))*360</f>
        <v>#VALUE!</v>
      </c>
      <c r="G30" s="317" t="e">
        <f>IF('Saisie comptes'!G77=0,"",'Synthèse analyse'!G10/('Saisie comptes'!G77-'Saisie comptes'!G73))*360</f>
        <v>#VALUE!</v>
      </c>
      <c r="H30" s="317" t="e">
        <f>IF('Saisie comptes'!H77=0,"",'Synthèse analyse'!H10/('Saisie comptes'!H77-'Saisie comptes'!H73))*360</f>
        <v>#VALUE!</v>
      </c>
      <c r="I30" s="317" t="e">
        <f>AVERAGE(D30:H30)</f>
        <v>#VALUE!</v>
      </c>
      <c r="J30" s="22" t="s">
        <v>450</v>
      </c>
    </row>
    <row r="31" spans="2:10" ht="13.25" customHeight="1" x14ac:dyDescent="0.25">
      <c r="B31" s="188" t="s">
        <v>361</v>
      </c>
      <c r="D31" s="317" t="e">
        <f>IF('Saisie comptes'!D77=0,"",'Synthèse analyse'!D9/('Saisie comptes'!D77-'Saisie comptes'!D73))*360</f>
        <v>#VALUE!</v>
      </c>
      <c r="E31" s="317" t="e">
        <f>IF('Saisie comptes'!E77=0,"",'Synthèse analyse'!E9/('Saisie comptes'!E77-'Saisie comptes'!E73))*360</f>
        <v>#VALUE!</v>
      </c>
      <c r="F31" s="317" t="e">
        <f>IF('Saisie comptes'!F77=0,"",'Synthèse analyse'!F9/('Saisie comptes'!F77-'Saisie comptes'!F73))*360</f>
        <v>#VALUE!</v>
      </c>
      <c r="G31" s="317" t="e">
        <f>IF('Saisie comptes'!G77=0,"",'Synthèse analyse'!G9/('Saisie comptes'!G77-'Saisie comptes'!G73))*360</f>
        <v>#VALUE!</v>
      </c>
      <c r="H31" s="317" t="e">
        <f>IF('Saisie comptes'!H77=0,"",'Synthèse analyse'!H9/('Saisie comptes'!H77-'Saisie comptes'!H73))*360</f>
        <v>#VALUE!</v>
      </c>
      <c r="I31" s="317" t="e">
        <f t="shared" ref="I31:I34" si="3">AVERAGE(D31:H31)</f>
        <v>#VALUE!</v>
      </c>
      <c r="J31" s="22" t="s">
        <v>355</v>
      </c>
    </row>
    <row r="32" spans="2:10" x14ac:dyDescent="0.25">
      <c r="B32" s="33" t="s">
        <v>50</v>
      </c>
      <c r="D32" s="149" t="e">
        <f>'Saisie comptes'!D16/(SUM('Saisie comptes'!D30:D34))</f>
        <v>#DIV/0!</v>
      </c>
      <c r="E32" s="130" t="e">
        <f>'Saisie comptes'!E16/(SUM('Saisie comptes'!E30:E34))</f>
        <v>#DIV/0!</v>
      </c>
      <c r="F32" s="149" t="e">
        <f>'Saisie comptes'!F16/(SUM('Saisie comptes'!F30:F34))</f>
        <v>#DIV/0!</v>
      </c>
      <c r="G32" s="130" t="e">
        <f>'Saisie comptes'!G16/(SUM('Saisie comptes'!G30:G34))</f>
        <v>#DIV/0!</v>
      </c>
      <c r="H32" s="153" t="e">
        <f>'Saisie comptes'!H16/(SUM('Saisie comptes'!H30:H34))</f>
        <v>#DIV/0!</v>
      </c>
      <c r="I32" s="153" t="e">
        <f t="shared" si="3"/>
        <v>#DIV/0!</v>
      </c>
      <c r="J32" s="22" t="s">
        <v>298</v>
      </c>
    </row>
    <row r="33" spans="2:10" x14ac:dyDescent="0.25">
      <c r="B33" s="313" t="s">
        <v>51</v>
      </c>
      <c r="D33" s="318" t="e">
        <f>'Saisie comptes'!D35/'Saisie comptes'!D18</f>
        <v>#DIV/0!</v>
      </c>
      <c r="E33" s="314" t="e">
        <f>'Saisie comptes'!E35/'Saisie comptes'!E18</f>
        <v>#DIV/0!</v>
      </c>
      <c r="F33" s="318" t="e">
        <f>'Saisie comptes'!F35/'Saisie comptes'!F18</f>
        <v>#DIV/0!</v>
      </c>
      <c r="G33" s="314" t="e">
        <f>'Saisie comptes'!G35/'Saisie comptes'!G18</f>
        <v>#DIV/0!</v>
      </c>
      <c r="H33" s="315" t="e">
        <f>'Saisie comptes'!H35/'Saisie comptes'!H18</f>
        <v>#DIV/0!</v>
      </c>
      <c r="I33" s="315" t="e">
        <f t="shared" si="3"/>
        <v>#DIV/0!</v>
      </c>
      <c r="J33" s="304" t="s">
        <v>299</v>
      </c>
    </row>
    <row r="34" spans="2:10" ht="13" thickBot="1" x14ac:dyDescent="0.3">
      <c r="B34" s="60" t="s">
        <v>291</v>
      </c>
      <c r="D34" s="295" t="e">
        <f>('Saisie comptes'!D29+'Saisie comptes'!D30)/'Saisie comptes'!D103</f>
        <v>#DIV/0!</v>
      </c>
      <c r="E34" s="296" t="e">
        <f>('Saisie comptes'!E29+'Saisie comptes'!E30)/'Saisie comptes'!E103</f>
        <v>#DIV/0!</v>
      </c>
      <c r="F34" s="295" t="e">
        <f>('Saisie comptes'!F29+'Saisie comptes'!F30)/'Saisie comptes'!F103</f>
        <v>#DIV/0!</v>
      </c>
      <c r="G34" s="296" t="e">
        <f>('Saisie comptes'!G29+'Saisie comptes'!G30)/'Saisie comptes'!G103</f>
        <v>#DIV/0!</v>
      </c>
      <c r="H34" s="226" t="e">
        <f>('Saisie comptes'!H29+'Saisie comptes'!H30)/'Saisie comptes'!H103</f>
        <v>#DIV/0!</v>
      </c>
      <c r="I34" s="226" t="e">
        <f t="shared" si="3"/>
        <v>#DIV/0!</v>
      </c>
      <c r="J34" s="22" t="s">
        <v>300</v>
      </c>
    </row>
    <row r="37" spans="2:10" x14ac:dyDescent="0.25">
      <c r="B37" s="49" t="s">
        <v>309</v>
      </c>
      <c r="C37" s="53"/>
      <c r="D37" s="53"/>
      <c r="E37" s="53"/>
      <c r="F37" s="53"/>
      <c r="G37" s="53"/>
      <c r="H37" s="53"/>
      <c r="I37" s="53"/>
    </row>
    <row r="38" spans="2:10" ht="13" thickBot="1" x14ac:dyDescent="0.3"/>
    <row r="39" spans="2:10" ht="13" thickBot="1" x14ac:dyDescent="0.3">
      <c r="B39" s="146" t="s">
        <v>52</v>
      </c>
      <c r="D39" s="217">
        <f t="shared" ref="D39:I39" si="4">D6</f>
        <v>2018</v>
      </c>
      <c r="E39" s="186">
        <f t="shared" si="4"/>
        <v>2019</v>
      </c>
      <c r="F39" s="217">
        <f t="shared" si="4"/>
        <v>2020</v>
      </c>
      <c r="G39" s="186">
        <f t="shared" si="4"/>
        <v>2021</v>
      </c>
      <c r="H39" s="218">
        <f t="shared" si="4"/>
        <v>2022</v>
      </c>
      <c r="I39" s="218" t="str">
        <f t="shared" si="4"/>
        <v>Moyenne</v>
      </c>
    </row>
    <row r="40" spans="2:10" ht="6.5" customHeight="1" thickBot="1" x14ac:dyDescent="0.3"/>
    <row r="41" spans="2:10" s="698" customFormat="1" x14ac:dyDescent="0.25">
      <c r="B41" s="25" t="s">
        <v>317</v>
      </c>
      <c r="D41" s="730" t="e">
        <f>('Saisie comptes'!D49+'Saisie comptes'!D54+'Saisie comptes'!D55+'Saisie comptes'!D56+'Saisie comptes'!D57+'Saisie comptes'!D60-'Saisie comptes'!D63-'Saisie comptes'!D64-'Saisie comptes'!D65-'Saisie comptes'!D66-'Saisie comptes'!D69-'Saisie comptes'!D72)/('Saisie comptes'!D62-'Saisie comptes'!D58)</f>
        <v>#DIV/0!</v>
      </c>
      <c r="E41" s="731" t="e">
        <f>('Saisie comptes'!E49+'Saisie comptes'!E54+'Saisie comptes'!E55+'Saisie comptes'!E56+'Saisie comptes'!E57+'Saisie comptes'!E60-'Saisie comptes'!E63-'Saisie comptes'!E64-'Saisie comptes'!E65-'Saisie comptes'!E66-'Saisie comptes'!E69-'Saisie comptes'!E72)/('Saisie comptes'!E62-'Saisie comptes'!E58)</f>
        <v>#DIV/0!</v>
      </c>
      <c r="F41" s="730" t="e">
        <f>('Saisie comptes'!F49+'Saisie comptes'!F54+'Saisie comptes'!F55+'Saisie comptes'!F56+'Saisie comptes'!F57+'Saisie comptes'!F60-'Saisie comptes'!F63-'Saisie comptes'!F64-'Saisie comptes'!F65-'Saisie comptes'!F66-'Saisie comptes'!F69-'Saisie comptes'!F72)/('Saisie comptes'!F62-'Saisie comptes'!F58)</f>
        <v>#DIV/0!</v>
      </c>
      <c r="G41" s="731" t="e">
        <f>('Saisie comptes'!G49+'Saisie comptes'!G54+'Saisie comptes'!G55+'Saisie comptes'!G56+'Saisie comptes'!G57+'Saisie comptes'!G60-'Saisie comptes'!G63-'Saisie comptes'!G64-'Saisie comptes'!G65-'Saisie comptes'!G66-'Saisie comptes'!G69-'Saisie comptes'!G72)/('Saisie comptes'!G62-'Saisie comptes'!G58)</f>
        <v>#DIV/0!</v>
      </c>
      <c r="H41" s="732" t="e">
        <f>('Saisie comptes'!H49+'Saisie comptes'!H54+'Saisie comptes'!H55+'Saisie comptes'!H56+'Saisie comptes'!H57+'Saisie comptes'!H60-'Saisie comptes'!H63-'Saisie comptes'!H64-'Saisie comptes'!H65-'Saisie comptes'!H66-'Saisie comptes'!H69-'Saisie comptes'!H72)/('Saisie comptes'!H62-'Saisie comptes'!H58)</f>
        <v>#DIV/0!</v>
      </c>
      <c r="I41" s="733" t="e">
        <f t="shared" ref="I41:I45" si="5">AVERAGE(D41:H41)</f>
        <v>#DIV/0!</v>
      </c>
    </row>
    <row r="42" spans="2:10" s="698" customFormat="1" x14ac:dyDescent="0.25">
      <c r="B42" s="26" t="s">
        <v>318</v>
      </c>
      <c r="D42" s="702" t="e">
        <f>'Saisie comptes'!D78/('Saisie comptes'!D62)</f>
        <v>#DIV/0!</v>
      </c>
      <c r="E42" s="703" t="e">
        <f>'Saisie comptes'!E78/('Saisie comptes'!E62)</f>
        <v>#DIV/0!</v>
      </c>
      <c r="F42" s="702" t="e">
        <f>'Saisie comptes'!F78/('Saisie comptes'!F62)</f>
        <v>#DIV/0!</v>
      </c>
      <c r="G42" s="703" t="e">
        <f>'Saisie comptes'!G78/('Saisie comptes'!G62)</f>
        <v>#DIV/0!</v>
      </c>
      <c r="H42" s="704" t="e">
        <f>'Saisie comptes'!H78/('Saisie comptes'!H62)</f>
        <v>#DIV/0!</v>
      </c>
      <c r="I42" s="733" t="e">
        <f t="shared" si="5"/>
        <v>#DIV/0!</v>
      </c>
    </row>
    <row r="43" spans="2:10" x14ac:dyDescent="0.25">
      <c r="B43" s="26" t="s">
        <v>49</v>
      </c>
      <c r="D43" s="182">
        <f>'Saisie comptes'!D101</f>
        <v>0</v>
      </c>
      <c r="E43" s="183">
        <f>'Saisie comptes'!E101</f>
        <v>0</v>
      </c>
      <c r="F43" s="182">
        <f>'Saisie comptes'!F101</f>
        <v>0</v>
      </c>
      <c r="G43" s="183">
        <f>'Saisie comptes'!G101</f>
        <v>0</v>
      </c>
      <c r="H43" s="201">
        <f>'Saisie comptes'!H101</f>
        <v>0</v>
      </c>
      <c r="I43" s="201">
        <f t="shared" si="5"/>
        <v>0</v>
      </c>
    </row>
    <row r="44" spans="2:10" ht="13" thickBot="1" x14ac:dyDescent="0.3">
      <c r="B44" s="26" t="s">
        <v>363</v>
      </c>
      <c r="D44" s="687" t="e">
        <f>'Saisie comptes'!D101/'Saisie comptes'!D62</f>
        <v>#DIV/0!</v>
      </c>
      <c r="E44" s="687" t="e">
        <f>'Saisie comptes'!E101/'Saisie comptes'!E62</f>
        <v>#DIV/0!</v>
      </c>
      <c r="F44" s="687" t="e">
        <f>'Saisie comptes'!F101/'Saisie comptes'!F62</f>
        <v>#DIV/0!</v>
      </c>
      <c r="G44" s="687" t="e">
        <f>'Saisie comptes'!G101/'Saisie comptes'!G62</f>
        <v>#DIV/0!</v>
      </c>
      <c r="H44" s="687" t="e">
        <f>'Saisie comptes'!H101/'Saisie comptes'!H62</f>
        <v>#DIV/0!</v>
      </c>
      <c r="I44" s="687" t="e">
        <f t="shared" si="5"/>
        <v>#DIV/0!</v>
      </c>
    </row>
    <row r="45" spans="2:10" ht="13" thickBot="1" x14ac:dyDescent="0.3">
      <c r="B45" s="320" t="s">
        <v>311</v>
      </c>
      <c r="D45" s="323">
        <f>'Saisie comptes'!D103</f>
        <v>0</v>
      </c>
      <c r="E45" s="324">
        <f>'Saisie comptes'!E103</f>
        <v>0</v>
      </c>
      <c r="F45" s="323">
        <f>'Saisie comptes'!F103</f>
        <v>0</v>
      </c>
      <c r="G45" s="324">
        <f>'Saisie comptes'!G103</f>
        <v>0</v>
      </c>
      <c r="H45" s="325">
        <f>'Saisie comptes'!H103</f>
        <v>0</v>
      </c>
      <c r="I45" s="325">
        <f t="shared" si="5"/>
        <v>0</v>
      </c>
    </row>
    <row r="46" spans="2:10" ht="13" thickBot="1" x14ac:dyDescent="0.3"/>
    <row r="47" spans="2:10" ht="13" thickBot="1" x14ac:dyDescent="0.3">
      <c r="B47" s="146" t="s">
        <v>303</v>
      </c>
    </row>
    <row r="48" spans="2:10" ht="6" customHeight="1" thickBot="1" x14ac:dyDescent="0.3"/>
    <row r="49" spans="2:16" x14ac:dyDescent="0.25">
      <c r="B49" s="319" t="s">
        <v>403</v>
      </c>
      <c r="D49" s="209">
        <f>'Saisie comptes'!D62</f>
        <v>0</v>
      </c>
      <c r="E49" s="210">
        <f>'Saisie comptes'!E62</f>
        <v>0</v>
      </c>
      <c r="F49" s="210">
        <f>'Saisie comptes'!F62</f>
        <v>0</v>
      </c>
      <c r="G49" s="210">
        <f>'Saisie comptes'!G62</f>
        <v>0</v>
      </c>
      <c r="H49" s="211">
        <f>'Saisie comptes'!H62</f>
        <v>0</v>
      </c>
      <c r="I49" s="211">
        <f t="shared" ref="I49:I62" si="6">AVERAGE(D49:H49)</f>
        <v>0</v>
      </c>
    </row>
    <row r="50" spans="2:16" x14ac:dyDescent="0.25">
      <c r="B50" s="313" t="s">
        <v>397</v>
      </c>
      <c r="D50" s="316"/>
      <c r="E50" s="696" t="e">
        <f>(E49-D49)/D49</f>
        <v>#DIV/0!</v>
      </c>
      <c r="F50" s="696" t="e">
        <f>(F49-E49)/E49</f>
        <v>#DIV/0!</v>
      </c>
      <c r="G50" s="696" t="e">
        <f>(G49-F49)/F49</f>
        <v>#DIV/0!</v>
      </c>
      <c r="H50" s="696" t="e">
        <f>(H49-G49)/G49</f>
        <v>#DIV/0!</v>
      </c>
      <c r="I50" s="727" t="e">
        <f t="shared" si="6"/>
        <v>#DIV/0!</v>
      </c>
    </row>
    <row r="51" spans="2:16" x14ac:dyDescent="0.25">
      <c r="B51" s="313" t="s">
        <v>404</v>
      </c>
      <c r="D51" s="212">
        <f>SUM('Saisie comptes'!D49:D53)</f>
        <v>0</v>
      </c>
      <c r="E51" s="212">
        <f>SUM('Saisie comptes'!E49:E53)</f>
        <v>0</v>
      </c>
      <c r="F51" s="212">
        <f>SUM('Saisie comptes'!F49:F53)</f>
        <v>0</v>
      </c>
      <c r="G51" s="212">
        <f>SUM('Saisie comptes'!G49:G53)</f>
        <v>0</v>
      </c>
      <c r="H51" s="212">
        <f>SUM('Saisie comptes'!H49:H53)</f>
        <v>0</v>
      </c>
      <c r="I51" s="167">
        <f t="shared" si="6"/>
        <v>0</v>
      </c>
    </row>
    <row r="52" spans="2:16" x14ac:dyDescent="0.25">
      <c r="B52" s="313" t="s">
        <v>398</v>
      </c>
      <c r="D52" s="316"/>
      <c r="E52" s="696" t="e">
        <f>(E51-D51)/D51</f>
        <v>#DIV/0!</v>
      </c>
      <c r="F52" s="696" t="e">
        <f>(F51-E51)/E51</f>
        <v>#DIV/0!</v>
      </c>
      <c r="G52" s="696" t="e">
        <f>(G51-F51)/F51</f>
        <v>#DIV/0!</v>
      </c>
      <c r="H52" s="696" t="e">
        <f>(H51-G51)/G51</f>
        <v>#DIV/0!</v>
      </c>
      <c r="I52" s="727" t="e">
        <f t="shared" si="6"/>
        <v>#DIV/0!</v>
      </c>
    </row>
    <row r="53" spans="2:16" x14ac:dyDescent="0.25">
      <c r="B53" s="33" t="s">
        <v>402</v>
      </c>
      <c r="D53" s="212">
        <f>'Saisie comptes'!D55</f>
        <v>0</v>
      </c>
      <c r="E53" s="166">
        <f>'Saisie comptes'!E55</f>
        <v>0</v>
      </c>
      <c r="F53" s="166">
        <f>'Saisie comptes'!F55</f>
        <v>0</v>
      </c>
      <c r="G53" s="166">
        <f>'Saisie comptes'!G55</f>
        <v>0</v>
      </c>
      <c r="H53" s="167">
        <f>'Saisie comptes'!H55</f>
        <v>0</v>
      </c>
      <c r="I53" s="167">
        <f t="shared" si="6"/>
        <v>0</v>
      </c>
    </row>
    <row r="54" spans="2:16" x14ac:dyDescent="0.25">
      <c r="B54" s="33" t="s">
        <v>399</v>
      </c>
      <c r="D54" s="316"/>
      <c r="E54" s="696" t="e">
        <f>(E53-D53)/D53</f>
        <v>#DIV/0!</v>
      </c>
      <c r="F54" s="696" t="e">
        <f>(F53-E53)/E53</f>
        <v>#DIV/0!</v>
      </c>
      <c r="G54" s="696" t="e">
        <f>(G53-F53)/F53</f>
        <v>#DIV/0!</v>
      </c>
      <c r="H54" s="696" t="e">
        <f>(H53-G53)/G53</f>
        <v>#DIV/0!</v>
      </c>
      <c r="I54" s="727" t="e">
        <f t="shared" si="6"/>
        <v>#DIV/0!</v>
      </c>
    </row>
    <row r="55" spans="2:16" x14ac:dyDescent="0.25">
      <c r="B55" s="33" t="s">
        <v>332</v>
      </c>
      <c r="D55" s="212">
        <f>'Pour aller plus loin...'!D12</f>
        <v>60000</v>
      </c>
      <c r="E55" s="166">
        <f>'Pour aller plus loin...'!L12</f>
        <v>60000</v>
      </c>
      <c r="F55" s="166">
        <f>'Pour aller plus loin...'!T12</f>
        <v>60000</v>
      </c>
      <c r="G55" s="166">
        <f>'Pour aller plus loin...'!AB12</f>
        <v>60000</v>
      </c>
      <c r="H55" s="167">
        <f>'Pour aller plus loin...'!AJ12</f>
        <v>60000</v>
      </c>
      <c r="I55" s="167">
        <f t="shared" si="6"/>
        <v>60000</v>
      </c>
    </row>
    <row r="56" spans="2:16" x14ac:dyDescent="0.25">
      <c r="B56" s="33" t="s">
        <v>400</v>
      </c>
      <c r="D56" s="316"/>
      <c r="E56" s="696">
        <f>(E55-D55)/D55</f>
        <v>0</v>
      </c>
      <c r="F56" s="696">
        <f>(F55-E55)/E55</f>
        <v>0</v>
      </c>
      <c r="G56" s="696">
        <f>(G55-F55)/F55</f>
        <v>0</v>
      </c>
      <c r="H56" s="696">
        <f>(H55-G55)/G55</f>
        <v>0</v>
      </c>
      <c r="I56" s="727">
        <f t="shared" si="6"/>
        <v>0</v>
      </c>
    </row>
    <row r="57" spans="2:16" x14ac:dyDescent="0.25">
      <c r="B57" s="33" t="s">
        <v>405</v>
      </c>
      <c r="D57" s="212">
        <f>'Pour aller plus loin...'!F12</f>
        <v>60000</v>
      </c>
      <c r="E57" s="166">
        <f>'Pour aller plus loin...'!N12</f>
        <v>60000</v>
      </c>
      <c r="F57" s="166">
        <f>'Pour aller plus loin...'!V12</f>
        <v>60000</v>
      </c>
      <c r="G57" s="166">
        <f>'Pour aller plus loin...'!AD12</f>
        <v>60000</v>
      </c>
      <c r="H57" s="167">
        <f>'Pour aller plus loin...'!AL12</f>
        <v>60000</v>
      </c>
      <c r="I57" s="167">
        <f t="shared" ref="I57" si="7">AVERAGE(D57:H57)</f>
        <v>60000</v>
      </c>
    </row>
    <row r="58" spans="2:16" x14ac:dyDescent="0.25">
      <c r="B58" s="33" t="s">
        <v>401</v>
      </c>
      <c r="D58" s="316"/>
      <c r="E58" s="696">
        <f>(E57-D57)/D57</f>
        <v>0</v>
      </c>
      <c r="F58" s="696">
        <f>(F57-E57)/E57</f>
        <v>0</v>
      </c>
      <c r="G58" s="696">
        <f>(G57-F57)/F57</f>
        <v>0</v>
      </c>
      <c r="H58" s="696">
        <f>(H57-G57)/G57</f>
        <v>0</v>
      </c>
      <c r="I58" s="727">
        <f t="shared" si="6"/>
        <v>0</v>
      </c>
    </row>
    <row r="59" spans="2:16" x14ac:dyDescent="0.25">
      <c r="B59" s="313" t="s">
        <v>306</v>
      </c>
      <c r="D59" s="326" t="e">
        <f>'Saisie comptes'!D55/'Saisie comptes'!D62</f>
        <v>#DIV/0!</v>
      </c>
      <c r="E59" s="327" t="e">
        <f>'Saisie comptes'!E55/'Saisie comptes'!E62</f>
        <v>#DIV/0!</v>
      </c>
      <c r="F59" s="326" t="e">
        <f>'Saisie comptes'!F55/'Saisie comptes'!F62</f>
        <v>#DIV/0!</v>
      </c>
      <c r="G59" s="327" t="e">
        <f>'Saisie comptes'!G55/'Saisie comptes'!G62</f>
        <v>#DIV/0!</v>
      </c>
      <c r="H59" s="328" t="e">
        <f>'Saisie comptes'!H55/'Saisie comptes'!H62</f>
        <v>#DIV/0!</v>
      </c>
      <c r="I59" s="328" t="e">
        <f t="shared" si="6"/>
        <v>#DIV/0!</v>
      </c>
    </row>
    <row r="60" spans="2:16" x14ac:dyDescent="0.25">
      <c r="B60" s="313" t="s">
        <v>307</v>
      </c>
      <c r="D60" s="326" t="e">
        <f>'Saisie comptes'!D54/('Saisie comptes'!D66+'Saisie comptes'!D69)</f>
        <v>#DIV/0!</v>
      </c>
      <c r="E60" s="327" t="e">
        <f>'Saisie comptes'!E54/('Saisie comptes'!E66+'Saisie comptes'!E69)</f>
        <v>#DIV/0!</v>
      </c>
      <c r="F60" s="326" t="e">
        <f>'Saisie comptes'!F54/('Saisie comptes'!F66+'Saisie comptes'!F69)</f>
        <v>#DIV/0!</v>
      </c>
      <c r="G60" s="327" t="e">
        <f>'Saisie comptes'!G54/('Saisie comptes'!G66+'Saisie comptes'!G69)</f>
        <v>#DIV/0!</v>
      </c>
      <c r="H60" s="328" t="e">
        <f>'Saisie comptes'!H54/('Saisie comptes'!H66+'Saisie comptes'!H69)</f>
        <v>#DIV/0!</v>
      </c>
      <c r="I60" s="328" t="e">
        <f t="shared" si="6"/>
        <v>#DIV/0!</v>
      </c>
    </row>
    <row r="61" spans="2:16" x14ac:dyDescent="0.25">
      <c r="B61" s="313" t="s">
        <v>365</v>
      </c>
      <c r="D61" s="688" t="e">
        <f>D55/'Saisie comptes'!D55</f>
        <v>#DIV/0!</v>
      </c>
      <c r="E61" s="688" t="e">
        <f>E55/'Saisie comptes'!E55</f>
        <v>#DIV/0!</v>
      </c>
      <c r="F61" s="688" t="e">
        <f>F55/'Saisie comptes'!F55</f>
        <v>#DIV/0!</v>
      </c>
      <c r="G61" s="688" t="e">
        <f>G55/'Saisie comptes'!G55</f>
        <v>#DIV/0!</v>
      </c>
      <c r="H61" s="688" t="e">
        <f>H55/'Saisie comptes'!H55</f>
        <v>#DIV/0!</v>
      </c>
      <c r="I61" s="728" t="e">
        <f t="shared" si="6"/>
        <v>#DIV/0!</v>
      </c>
    </row>
    <row r="62" spans="2:16" ht="13" thickBot="1" x14ac:dyDescent="0.3">
      <c r="B62" s="320" t="s">
        <v>366</v>
      </c>
      <c r="D62" s="329" t="e">
        <f>D57/'Saisie comptes'!D55</f>
        <v>#DIV/0!</v>
      </c>
      <c r="E62" s="329" t="e">
        <f>E57/'Saisie comptes'!E55</f>
        <v>#DIV/0!</v>
      </c>
      <c r="F62" s="329" t="e">
        <f>F57/'Saisie comptes'!F55</f>
        <v>#DIV/0!</v>
      </c>
      <c r="G62" s="329" t="e">
        <f>G57/'Saisie comptes'!G55</f>
        <v>#DIV/0!</v>
      </c>
      <c r="H62" s="329" t="e">
        <f>H57/'Saisie comptes'!H55</f>
        <v>#DIV/0!</v>
      </c>
      <c r="I62" s="729" t="e">
        <f t="shared" si="6"/>
        <v>#DIV/0!</v>
      </c>
    </row>
    <row r="63" spans="2:16" ht="13" thickBot="1" x14ac:dyDescent="0.3">
      <c r="P63" s="18"/>
    </row>
    <row r="64" spans="2:16" ht="13" thickBot="1" x14ac:dyDescent="0.3">
      <c r="B64" s="146" t="s">
        <v>304</v>
      </c>
    </row>
    <row r="65" spans="2:16" ht="6" customHeight="1" thickBot="1" x14ac:dyDescent="0.3">
      <c r="P65" s="18"/>
    </row>
    <row r="66" spans="2:16" x14ac:dyDescent="0.25">
      <c r="B66" s="59" t="s">
        <v>406</v>
      </c>
      <c r="D66" s="209">
        <f>'Saisie comptes'!D77</f>
        <v>0</v>
      </c>
      <c r="E66" s="210">
        <f>'Saisie comptes'!E77</f>
        <v>0</v>
      </c>
      <c r="F66" s="210">
        <f>'Saisie comptes'!F77</f>
        <v>0</v>
      </c>
      <c r="G66" s="210">
        <f>'Saisie comptes'!G77</f>
        <v>0</v>
      </c>
      <c r="H66" s="211">
        <f>'Saisie comptes'!H77</f>
        <v>0</v>
      </c>
      <c r="I66" s="211">
        <f t="shared" ref="I66:I88" si="8">AVERAGE(D66:H66)</f>
        <v>0</v>
      </c>
      <c r="P66" s="18"/>
    </row>
    <row r="67" spans="2:16" x14ac:dyDescent="0.25">
      <c r="B67" s="33" t="s">
        <v>385</v>
      </c>
      <c r="D67" s="316"/>
      <c r="E67" s="696" t="e">
        <f>(E66-D66)/D66</f>
        <v>#DIV/0!</v>
      </c>
      <c r="F67" s="696" t="e">
        <f>(F66-E66)/E66</f>
        <v>#DIV/0!</v>
      </c>
      <c r="G67" s="696" t="e">
        <f>(G66-F66)/F66</f>
        <v>#DIV/0!</v>
      </c>
      <c r="H67" s="696" t="e">
        <f>(H66-G66)/G66</f>
        <v>#DIV/0!</v>
      </c>
      <c r="I67" s="696" t="e">
        <f t="shared" si="8"/>
        <v>#DIV/0!</v>
      </c>
      <c r="P67" s="18"/>
    </row>
    <row r="68" spans="2:16" x14ac:dyDescent="0.25">
      <c r="B68" s="33" t="s">
        <v>407</v>
      </c>
      <c r="D68" s="212">
        <f>'Pour aller plus loin...'!D26</f>
        <v>70000</v>
      </c>
      <c r="E68" s="166">
        <f>'Pour aller plus loin...'!L26</f>
        <v>70000</v>
      </c>
      <c r="F68" s="166">
        <f>'Pour aller plus loin...'!T26</f>
        <v>70000</v>
      </c>
      <c r="G68" s="166">
        <f>'Pour aller plus loin...'!AB26</f>
        <v>70000</v>
      </c>
      <c r="H68" s="167">
        <f>'Pour aller plus loin...'!AJ26</f>
        <v>70000</v>
      </c>
      <c r="I68" s="167">
        <f t="shared" si="8"/>
        <v>70000</v>
      </c>
      <c r="P68" s="18"/>
    </row>
    <row r="69" spans="2:16" x14ac:dyDescent="0.25">
      <c r="B69" s="33" t="s">
        <v>386</v>
      </c>
      <c r="D69" s="316"/>
      <c r="E69" s="696">
        <f>(E68-D68)/D68</f>
        <v>0</v>
      </c>
      <c r="F69" s="696">
        <f>(F68-E68)/E68</f>
        <v>0</v>
      </c>
      <c r="G69" s="696">
        <f>(G68-F68)/F68</f>
        <v>0</v>
      </c>
      <c r="H69" s="696">
        <f>(H68-G68)/G68</f>
        <v>0</v>
      </c>
      <c r="I69" s="696">
        <f t="shared" si="8"/>
        <v>0</v>
      </c>
      <c r="P69" s="18"/>
    </row>
    <row r="70" spans="2:16" x14ac:dyDescent="0.25">
      <c r="B70" s="33" t="s">
        <v>408</v>
      </c>
      <c r="D70" s="212">
        <f>'Pour aller plus loin...'!F26</f>
        <v>60000</v>
      </c>
      <c r="E70" s="166">
        <f>'Pour aller plus loin...'!N26</f>
        <v>60000</v>
      </c>
      <c r="F70" s="166">
        <f>'Pour aller plus loin...'!V26</f>
        <v>60000</v>
      </c>
      <c r="G70" s="166">
        <f>'Pour aller plus loin...'!AD26</f>
        <v>60000</v>
      </c>
      <c r="H70" s="167">
        <f>'Pour aller plus loin...'!AL26</f>
        <v>60000</v>
      </c>
      <c r="I70" s="695">
        <f t="shared" si="8"/>
        <v>60000</v>
      </c>
      <c r="P70" s="18"/>
    </row>
    <row r="71" spans="2:16" x14ac:dyDescent="0.25">
      <c r="B71" s="33" t="s">
        <v>387</v>
      </c>
      <c r="D71" s="316"/>
      <c r="E71" s="696">
        <f>(E70-D70)/D70</f>
        <v>0</v>
      </c>
      <c r="F71" s="696">
        <f>(F70-E70)/E70</f>
        <v>0</v>
      </c>
      <c r="G71" s="696">
        <f>(G70-F70)/F70</f>
        <v>0</v>
      </c>
      <c r="H71" s="696">
        <f>(H70-G70)/G70</f>
        <v>0</v>
      </c>
      <c r="I71" s="696">
        <f t="shared" si="8"/>
        <v>0</v>
      </c>
      <c r="P71" s="18"/>
    </row>
    <row r="72" spans="2:16" x14ac:dyDescent="0.25">
      <c r="B72" s="33" t="s">
        <v>409</v>
      </c>
      <c r="D72" s="212">
        <f>'Saisie comptes'!D66+'Saisie comptes'!D69</f>
        <v>0</v>
      </c>
      <c r="E72" s="166">
        <f>'Saisie comptes'!E66+'Saisie comptes'!E69</f>
        <v>0</v>
      </c>
      <c r="F72" s="166">
        <f>'Saisie comptes'!F66+'Saisie comptes'!F69</f>
        <v>0</v>
      </c>
      <c r="G72" s="166">
        <f>'Saisie comptes'!G66+'Saisie comptes'!G69</f>
        <v>0</v>
      </c>
      <c r="H72" s="167">
        <f>'Saisie comptes'!H66+'Saisie comptes'!H69</f>
        <v>0</v>
      </c>
      <c r="I72" s="167">
        <f t="shared" si="8"/>
        <v>0</v>
      </c>
    </row>
    <row r="73" spans="2:16" x14ac:dyDescent="0.25">
      <c r="B73" s="33" t="s">
        <v>388</v>
      </c>
      <c r="D73" s="316"/>
      <c r="E73" s="696" t="e">
        <f>(E72-D72)/D72</f>
        <v>#DIV/0!</v>
      </c>
      <c r="F73" s="696" t="e">
        <f>(F72-E72)/E72</f>
        <v>#DIV/0!</v>
      </c>
      <c r="G73" s="696" t="e">
        <f>(G72-F72)/F72</f>
        <v>#DIV/0!</v>
      </c>
      <c r="H73" s="696" t="e">
        <f>(H72-G72)/G72</f>
        <v>#DIV/0!</v>
      </c>
      <c r="I73" s="696" t="e">
        <f t="shared" si="8"/>
        <v>#DIV/0!</v>
      </c>
    </row>
    <row r="74" spans="2:16" x14ac:dyDescent="0.25">
      <c r="B74" s="33" t="s">
        <v>410</v>
      </c>
      <c r="D74" s="212">
        <f>'Pour aller plus loin...'!F23</f>
        <v>10000</v>
      </c>
      <c r="E74" s="166">
        <f>'Pour aller plus loin...'!N23</f>
        <v>10000</v>
      </c>
      <c r="F74" s="166">
        <f>'Pour aller plus loin...'!V23</f>
        <v>10000</v>
      </c>
      <c r="G74" s="166">
        <f>'Pour aller plus loin...'!AD23</f>
        <v>10000</v>
      </c>
      <c r="H74" s="167">
        <f>'Pour aller plus loin...'!AL23</f>
        <v>10000</v>
      </c>
      <c r="I74" s="695">
        <f t="shared" si="8"/>
        <v>10000</v>
      </c>
    </row>
    <row r="75" spans="2:16" x14ac:dyDescent="0.25">
      <c r="B75" s="33" t="s">
        <v>389</v>
      </c>
      <c r="D75" s="316"/>
      <c r="E75" s="696">
        <f>(E74-D74)/D74</f>
        <v>0</v>
      </c>
      <c r="F75" s="696">
        <f>(F74-E74)/E74</f>
        <v>0</v>
      </c>
      <c r="G75" s="696">
        <f>(G74-F74)/F74</f>
        <v>0</v>
      </c>
      <c r="H75" s="696">
        <f>(H74-G74)/G74</f>
        <v>0</v>
      </c>
      <c r="I75" s="696">
        <f t="shared" si="8"/>
        <v>0</v>
      </c>
    </row>
    <row r="76" spans="2:16" x14ac:dyDescent="0.25">
      <c r="B76" s="33" t="s">
        <v>411</v>
      </c>
      <c r="D76" s="212">
        <f>'Pour aller plus loin...'!F23</f>
        <v>10000</v>
      </c>
      <c r="E76" s="166">
        <f>'Pour aller plus loin...'!N23</f>
        <v>10000</v>
      </c>
      <c r="F76" s="166">
        <f>'Pour aller plus loin...'!V23</f>
        <v>10000</v>
      </c>
      <c r="G76" s="166">
        <f>'Pour aller plus loin...'!AD23</f>
        <v>10000</v>
      </c>
      <c r="H76" s="167">
        <f>'Pour aller plus loin...'!AL23</f>
        <v>10000</v>
      </c>
      <c r="I76" s="695">
        <f t="shared" si="8"/>
        <v>10000</v>
      </c>
    </row>
    <row r="77" spans="2:16" x14ac:dyDescent="0.25">
      <c r="B77" s="33" t="s">
        <v>390</v>
      </c>
      <c r="D77" s="316"/>
      <c r="E77" s="696">
        <f>(E76-D76)/D76</f>
        <v>0</v>
      </c>
      <c r="F77" s="696">
        <f>(F76-E76)/E76</f>
        <v>0</v>
      </c>
      <c r="G77" s="696">
        <f>(G76-F76)/F76</f>
        <v>0</v>
      </c>
      <c r="H77" s="696">
        <f>(H76-G76)/G76</f>
        <v>0</v>
      </c>
      <c r="I77" s="696">
        <f t="shared" si="8"/>
        <v>0</v>
      </c>
    </row>
    <row r="78" spans="2:16" x14ac:dyDescent="0.25">
      <c r="B78" s="697" t="s">
        <v>412</v>
      </c>
      <c r="C78" s="698"/>
      <c r="D78" s="699">
        <f>'Saisie comptes'!D64</f>
        <v>0</v>
      </c>
      <c r="E78" s="700">
        <f>'Saisie comptes'!E64</f>
        <v>0</v>
      </c>
      <c r="F78" s="700">
        <f>'Saisie comptes'!F64</f>
        <v>0</v>
      </c>
      <c r="G78" s="700">
        <f>'Saisie comptes'!G64</f>
        <v>0</v>
      </c>
      <c r="H78" s="701">
        <f>'Saisie comptes'!H64</f>
        <v>0</v>
      </c>
      <c r="I78" s="701">
        <f t="shared" si="8"/>
        <v>0</v>
      </c>
    </row>
    <row r="79" spans="2:16" x14ac:dyDescent="0.25">
      <c r="B79" s="697" t="s">
        <v>391</v>
      </c>
      <c r="C79" s="698"/>
      <c r="D79" s="316"/>
      <c r="E79" s="696" t="e">
        <f>(E78-D78)/D78</f>
        <v>#DIV/0!</v>
      </c>
      <c r="F79" s="696" t="e">
        <f>(F78-E78)/E78</f>
        <v>#DIV/0!</v>
      </c>
      <c r="G79" s="696" t="e">
        <f>(G78-F78)/F78</f>
        <v>#DIV/0!</v>
      </c>
      <c r="H79" s="696" t="e">
        <f>(H78-G78)/G78</f>
        <v>#DIV/0!</v>
      </c>
      <c r="I79" s="696" t="e">
        <f t="shared" si="8"/>
        <v>#DIV/0!</v>
      </c>
    </row>
    <row r="80" spans="2:16" x14ac:dyDescent="0.25">
      <c r="B80" s="697" t="s">
        <v>413</v>
      </c>
      <c r="C80" s="698"/>
      <c r="D80" s="212">
        <f>'Pour aller plus loin...'!D20</f>
        <v>10000</v>
      </c>
      <c r="E80" s="166">
        <f>'Pour aller plus loin...'!L20</f>
        <v>10000</v>
      </c>
      <c r="F80" s="166">
        <f>'Pour aller plus loin...'!T20</f>
        <v>10000</v>
      </c>
      <c r="G80" s="166">
        <f>'Pour aller plus loin...'!AB20</f>
        <v>10000</v>
      </c>
      <c r="H80" s="167">
        <f>'Pour aller plus loin...'!AJ20</f>
        <v>10000</v>
      </c>
      <c r="I80" s="695">
        <f t="shared" si="8"/>
        <v>10000</v>
      </c>
    </row>
    <row r="81" spans="2:11" x14ac:dyDescent="0.25">
      <c r="B81" s="697" t="s">
        <v>392</v>
      </c>
      <c r="C81" s="698"/>
      <c r="D81" s="316"/>
      <c r="E81" s="696">
        <f>(E80-D80)/D80</f>
        <v>0</v>
      </c>
      <c r="F81" s="696">
        <f>(F80-E80)/E80</f>
        <v>0</v>
      </c>
      <c r="G81" s="696">
        <f>(G80-F80)/F80</f>
        <v>0</v>
      </c>
      <c r="H81" s="696">
        <f>(H80-G80)/G80</f>
        <v>0</v>
      </c>
      <c r="I81" s="696">
        <f t="shared" si="8"/>
        <v>0</v>
      </c>
    </row>
    <row r="82" spans="2:11" x14ac:dyDescent="0.25">
      <c r="B82" s="697" t="s">
        <v>414</v>
      </c>
      <c r="C82" s="698"/>
      <c r="D82" s="212">
        <f>'Pour aller plus loin...'!F20</f>
        <v>0</v>
      </c>
      <c r="E82" s="166">
        <f>'Pour aller plus loin...'!N20</f>
        <v>0</v>
      </c>
      <c r="F82" s="166">
        <f>'Pour aller plus loin...'!V20</f>
        <v>0</v>
      </c>
      <c r="G82" s="166">
        <f>'Pour aller plus loin...'!AD20</f>
        <v>0</v>
      </c>
      <c r="H82" s="167">
        <f>'Pour aller plus loin...'!AL20</f>
        <v>0</v>
      </c>
      <c r="I82" s="695">
        <f t="shared" si="8"/>
        <v>0</v>
      </c>
    </row>
    <row r="83" spans="2:11" x14ac:dyDescent="0.25">
      <c r="B83" s="697" t="s">
        <v>393</v>
      </c>
      <c r="C83" s="698"/>
      <c r="D83" s="316"/>
      <c r="E83" s="696" t="e">
        <f>(E82-D82)/D82</f>
        <v>#DIV/0!</v>
      </c>
      <c r="F83" s="696" t="e">
        <f>(F82-E82)/E82</f>
        <v>#DIV/0!</v>
      </c>
      <c r="G83" s="696" t="e">
        <f>(G82-F82)/F82</f>
        <v>#DIV/0!</v>
      </c>
      <c r="H83" s="696" t="e">
        <f>(H82-G82)/G82</f>
        <v>#DIV/0!</v>
      </c>
      <c r="I83" s="696" t="e">
        <f t="shared" si="8"/>
        <v>#DIV/0!</v>
      </c>
    </row>
    <row r="84" spans="2:11" x14ac:dyDescent="0.25">
      <c r="B84" s="697" t="s">
        <v>415</v>
      </c>
      <c r="C84" s="698"/>
      <c r="D84" s="699">
        <f>'Saisie comptes'!D74</f>
        <v>0</v>
      </c>
      <c r="E84" s="700">
        <f>'Saisie comptes'!E74</f>
        <v>0</v>
      </c>
      <c r="F84" s="700">
        <f>'Saisie comptes'!F74</f>
        <v>0</v>
      </c>
      <c r="G84" s="700">
        <f>'Saisie comptes'!G74</f>
        <v>0</v>
      </c>
      <c r="H84" s="701">
        <f>'Saisie comptes'!H74</f>
        <v>0</v>
      </c>
      <c r="I84" s="701">
        <f t="shared" si="8"/>
        <v>0</v>
      </c>
    </row>
    <row r="85" spans="2:11" x14ac:dyDescent="0.25">
      <c r="B85" s="26" t="s">
        <v>319</v>
      </c>
      <c r="C85" s="698"/>
      <c r="D85" s="702" t="e">
        <f>('Saisie comptes'!D66+'Saisie comptes'!D69)/'Saisie comptes'!D77</f>
        <v>#DIV/0!</v>
      </c>
      <c r="E85" s="703" t="e">
        <f>('Saisie comptes'!E66+'Saisie comptes'!E69)/'Saisie comptes'!E77</f>
        <v>#DIV/0!</v>
      </c>
      <c r="F85" s="703" t="e">
        <f>('Saisie comptes'!F66+'Saisie comptes'!F69)/'Saisie comptes'!F77</f>
        <v>#DIV/0!</v>
      </c>
      <c r="G85" s="703" t="e">
        <f>('Saisie comptes'!G66+'Saisie comptes'!G69)/'Saisie comptes'!G77</f>
        <v>#DIV/0!</v>
      </c>
      <c r="H85" s="704" t="e">
        <f>('Saisie comptes'!H66+'Saisie comptes'!H69)/'Saisie comptes'!H77</f>
        <v>#DIV/0!</v>
      </c>
      <c r="I85" s="704" t="e">
        <f t="shared" si="8"/>
        <v>#DIV/0!</v>
      </c>
    </row>
    <row r="86" spans="2:11" x14ac:dyDescent="0.25">
      <c r="B86" s="26" t="s">
        <v>322</v>
      </c>
      <c r="C86" s="698"/>
      <c r="D86" s="702" t="e">
        <f>('Saisie comptes'!D68+'Saisie comptes'!D71)/('Saisie comptes'!D66+'Saisie comptes'!D69)</f>
        <v>#DIV/0!</v>
      </c>
      <c r="E86" s="703" t="e">
        <f>('Saisie comptes'!E68+'Saisie comptes'!E71)/('Saisie comptes'!E66+'Saisie comptes'!E69)</f>
        <v>#DIV/0!</v>
      </c>
      <c r="F86" s="703" t="e">
        <f>('Saisie comptes'!F68+'Saisie comptes'!F71)/('Saisie comptes'!F66+'Saisie comptes'!F69)</f>
        <v>#DIV/0!</v>
      </c>
      <c r="G86" s="703" t="e">
        <f>('Saisie comptes'!G68+'Saisie comptes'!G71)/('Saisie comptes'!G66+'Saisie comptes'!G69)</f>
        <v>#DIV/0!</v>
      </c>
      <c r="H86" s="704" t="e">
        <f>('Saisie comptes'!H68+'Saisie comptes'!H71)/('Saisie comptes'!H66+'Saisie comptes'!H69)</f>
        <v>#DIV/0!</v>
      </c>
      <c r="I86" s="704" t="e">
        <f t="shared" si="8"/>
        <v>#DIV/0!</v>
      </c>
    </row>
    <row r="87" spans="2:11" x14ac:dyDescent="0.25">
      <c r="B87" s="697" t="s">
        <v>321</v>
      </c>
      <c r="C87" s="698"/>
      <c r="D87" s="702" t="e">
        <f>'Saisie comptes'!D64/'Saisie comptes'!D77</f>
        <v>#DIV/0!</v>
      </c>
      <c r="E87" s="703" t="e">
        <f>'Saisie comptes'!E64/'Saisie comptes'!E77</f>
        <v>#DIV/0!</v>
      </c>
      <c r="F87" s="703" t="e">
        <f>'Saisie comptes'!F64/'Saisie comptes'!F77</f>
        <v>#DIV/0!</v>
      </c>
      <c r="G87" s="703" t="e">
        <f>'Saisie comptes'!G64/'Saisie comptes'!G77</f>
        <v>#DIV/0!</v>
      </c>
      <c r="H87" s="704" t="e">
        <f>'Saisie comptes'!H64/'Saisie comptes'!H77</f>
        <v>#DIV/0!</v>
      </c>
      <c r="I87" s="704" t="e">
        <f t="shared" si="8"/>
        <v>#DIV/0!</v>
      </c>
    </row>
    <row r="88" spans="2:11" ht="13" thickBot="1" x14ac:dyDescent="0.3">
      <c r="B88" s="705" t="s">
        <v>320</v>
      </c>
      <c r="C88" s="698"/>
      <c r="D88" s="706" t="e">
        <f>'Saisie comptes'!D74/'Saisie comptes'!D77</f>
        <v>#DIV/0!</v>
      </c>
      <c r="E88" s="707" t="e">
        <f>'Saisie comptes'!E74/'Saisie comptes'!E77</f>
        <v>#DIV/0!</v>
      </c>
      <c r="F88" s="707" t="e">
        <f>'Saisie comptes'!F74/'Saisie comptes'!F77</f>
        <v>#DIV/0!</v>
      </c>
      <c r="G88" s="707" t="e">
        <f>'Saisie comptes'!G74/'Saisie comptes'!G77</f>
        <v>#DIV/0!</v>
      </c>
      <c r="H88" s="708" t="e">
        <f>'Saisie comptes'!H74/'Saisie comptes'!H77</f>
        <v>#DIV/0!</v>
      </c>
      <c r="I88" s="708" t="e">
        <f t="shared" si="8"/>
        <v>#DIV/0!</v>
      </c>
    </row>
    <row r="89" spans="2:11" x14ac:dyDescent="0.25">
      <c r="D89" s="333"/>
      <c r="E89" s="333"/>
      <c r="F89" s="333"/>
      <c r="G89" s="333"/>
      <c r="H89" s="333"/>
    </row>
    <row r="90" spans="2:11" ht="13" thickBot="1" x14ac:dyDescent="0.3"/>
    <row r="91" spans="2:11" ht="13" thickBot="1" x14ac:dyDescent="0.3">
      <c r="B91" s="146" t="s">
        <v>305</v>
      </c>
    </row>
    <row r="92" spans="2:11" ht="7.25" customHeight="1" thickBot="1" x14ac:dyDescent="0.3"/>
    <row r="93" spans="2:11" ht="16.25" customHeight="1" x14ac:dyDescent="0.25">
      <c r="B93" s="322" t="s">
        <v>312</v>
      </c>
      <c r="D93" s="59" t="e">
        <f>IF((('Saisie comptes'!G62-'Saisie comptes'!F62)/'Saisie comptes'!F62)&lt;-0.25,"Très grave",IF((('Saisie comptes'!G62-'Saisie comptes'!F62)/'Saisie comptes'!F62)&lt;-0.15,"Grave",IF((('Saisie comptes'!G62-'Saisie comptes'!F62)/'Saisie comptes'!F62)&lt;-0.05,"Préoccupant","Ok")))</f>
        <v>#DIV/0!</v>
      </c>
      <c r="F93" s="22" t="s">
        <v>313</v>
      </c>
    </row>
    <row r="94" spans="2:11" x14ac:dyDescent="0.25">
      <c r="B94" s="33" t="s">
        <v>314</v>
      </c>
      <c r="D94" s="33" t="str">
        <f>IF(AND('Saisie comptes'!F78&lt;0,'Saisie comptes'!G78&lt;0,'Saisie comptes'!H78&lt;0),"Très grave",IF(AND('Saisie comptes'!G78&lt;0,'Saisie comptes'!H78&lt;0),"Grave",IF('Saisie comptes'!H78&lt;0,"Préoccupant","Ok")))</f>
        <v>Ok</v>
      </c>
      <c r="F94" s="22" t="s">
        <v>315</v>
      </c>
      <c r="K94" s="22" t="s">
        <v>394</v>
      </c>
    </row>
    <row r="95" spans="2:11" x14ac:dyDescent="0.25">
      <c r="B95" s="33" t="s">
        <v>316</v>
      </c>
      <c r="D95" s="33" t="str">
        <f>IF(AND('Saisie comptes'!F101&lt;0,'Saisie comptes'!F101&lt;0,'Saisie comptes'!H101&lt;0),"Très grave",IF(AND('Saisie comptes'!G101&lt;0,'Saisie comptes'!H101&lt;0),"Grave",IF('Saisie comptes'!F101&lt;0,"Préoccupant","Ok")))</f>
        <v>Ok</v>
      </c>
      <c r="F95" s="22" t="s">
        <v>315</v>
      </c>
    </row>
    <row r="96" spans="2:11" ht="13.25" customHeight="1" x14ac:dyDescent="0.25">
      <c r="B96" s="33" t="s">
        <v>395</v>
      </c>
      <c r="D96" s="33" t="str">
        <f>IF(AND('Saisie comptes'!F80&lt;0,'Saisie comptes'!G80&lt;0,'Saisie comptes'!H80&lt;0),"Très grave",IF(AND('Saisie comptes'!G80&lt;0,'Saisie comptes'!H80&lt;0),"Grave",IF('Saisie comptes'!H80&lt;0,"Préoccupant","Ok")))</f>
        <v>Ok</v>
      </c>
    </row>
    <row r="97" spans="2:16" ht="15.5" customHeight="1" thickBot="1" x14ac:dyDescent="0.3">
      <c r="B97" s="60" t="s">
        <v>396</v>
      </c>
      <c r="D97" s="60" t="str">
        <f>IF(AND('Saisie comptes'!F81&lt;0,'Saisie comptes'!G81&lt;0,'Saisie comptes'!H81&lt;0),"Très grave",IF(AND('Saisie comptes'!G81&lt;0,'Saisie comptes'!H81&lt;0),"Grave",IF('Saisie comptes'!H81&lt;0,"Préoccupant","Ok")))</f>
        <v>Ok</v>
      </c>
    </row>
    <row r="98" spans="2:16" ht="15.5" customHeight="1" x14ac:dyDescent="0.25"/>
    <row r="99" spans="2:16" x14ac:dyDescent="0.25">
      <c r="I99" s="1"/>
    </row>
    <row r="100" spans="2:16" x14ac:dyDescent="0.25">
      <c r="I100" s="1"/>
    </row>
    <row r="101" spans="2:16" x14ac:dyDescent="0.25">
      <c r="I101" s="1"/>
      <c r="P101" s="18"/>
    </row>
    <row r="102" spans="2:16" x14ac:dyDescent="0.25">
      <c r="I102" s="1"/>
      <c r="P102" s="18"/>
    </row>
    <row r="103" spans="2:16" x14ac:dyDescent="0.25">
      <c r="I103" s="1"/>
      <c r="P103" s="18"/>
    </row>
    <row r="104" spans="2:16" x14ac:dyDescent="0.25">
      <c r="I104" s="1"/>
      <c r="P104" s="18"/>
    </row>
    <row r="105" spans="2:16" x14ac:dyDescent="0.25">
      <c r="I105" s="1"/>
    </row>
    <row r="106" spans="2:16" x14ac:dyDescent="0.25">
      <c r="I106" s="1"/>
    </row>
    <row r="107" spans="2:16" x14ac:dyDescent="0.25">
      <c r="I107" s="1"/>
    </row>
    <row r="108" spans="2:16" x14ac:dyDescent="0.25">
      <c r="I108" s="18"/>
    </row>
    <row r="109" spans="2:16" x14ac:dyDescent="0.25">
      <c r="I109" s="18"/>
    </row>
    <row r="110" spans="2:16" x14ac:dyDescent="0.25">
      <c r="I110" s="18"/>
    </row>
    <row r="111" spans="2:16" x14ac:dyDescent="0.25">
      <c r="I111" s="18"/>
    </row>
    <row r="112" spans="2:16" x14ac:dyDescent="0.25">
      <c r="I112" s="18"/>
    </row>
    <row r="113" spans="2:9" x14ac:dyDescent="0.25">
      <c r="I113" s="18"/>
    </row>
    <row r="114" spans="2:9" x14ac:dyDescent="0.25">
      <c r="I114" s="18"/>
    </row>
    <row r="115" spans="2:9" x14ac:dyDescent="0.25">
      <c r="I115" s="18"/>
    </row>
    <row r="116" spans="2:9" x14ac:dyDescent="0.25">
      <c r="I116" s="18"/>
    </row>
    <row r="117" spans="2:9" x14ac:dyDescent="0.25">
      <c r="I117" s="18"/>
    </row>
    <row r="118" spans="2:9" x14ac:dyDescent="0.25">
      <c r="I118" s="18"/>
    </row>
    <row r="119" spans="2:9" x14ac:dyDescent="0.25">
      <c r="B119" s="791"/>
      <c r="C119" s="791"/>
      <c r="D119" s="791"/>
      <c r="E119" s="791"/>
      <c r="F119" s="791"/>
      <c r="G119" s="791"/>
      <c r="H119" s="791"/>
      <c r="I119" s="791"/>
    </row>
    <row r="120" spans="2:9" x14ac:dyDescent="0.25">
      <c r="B120" s="18"/>
      <c r="C120" s="18"/>
      <c r="D120" s="18"/>
      <c r="E120" s="18"/>
      <c r="F120" s="18"/>
      <c r="G120" s="18"/>
      <c r="H120" s="18"/>
      <c r="I120" s="18"/>
    </row>
    <row r="121" spans="2:9" x14ac:dyDescent="0.25">
      <c r="B121" s="681"/>
      <c r="C121" s="682"/>
      <c r="D121" s="682"/>
      <c r="E121" s="682"/>
      <c r="F121" s="682"/>
      <c r="G121" s="682"/>
      <c r="H121" s="682"/>
      <c r="I121" s="682"/>
    </row>
    <row r="122" spans="2:9" x14ac:dyDescent="0.25">
      <c r="B122" s="50"/>
      <c r="C122" s="299"/>
      <c r="D122" s="299"/>
      <c r="E122" s="299"/>
      <c r="F122" s="299"/>
      <c r="G122" s="299"/>
      <c r="H122" s="299"/>
      <c r="I122" s="299"/>
    </row>
    <row r="123" spans="2:9" x14ac:dyDescent="0.25">
      <c r="B123" s="50"/>
      <c r="C123" s="299"/>
      <c r="D123" s="299"/>
      <c r="E123" s="299"/>
      <c r="F123" s="299"/>
      <c r="G123" s="299"/>
      <c r="H123" s="299"/>
      <c r="I123" s="299"/>
    </row>
    <row r="124" spans="2:9" x14ac:dyDescent="0.25">
      <c r="B124" s="50"/>
      <c r="C124" s="299"/>
      <c r="D124" s="299"/>
      <c r="E124" s="299"/>
      <c r="F124" s="299"/>
      <c r="G124" s="299"/>
      <c r="H124" s="299"/>
      <c r="I124" s="299"/>
    </row>
    <row r="125" spans="2:9" x14ac:dyDescent="0.25">
      <c r="B125" s="50"/>
      <c r="C125" s="299"/>
      <c r="D125" s="299"/>
      <c r="E125" s="299"/>
      <c r="F125" s="299"/>
      <c r="G125" s="299"/>
      <c r="H125" s="299"/>
      <c r="I125" s="299"/>
    </row>
    <row r="126" spans="2:9" x14ac:dyDescent="0.25">
      <c r="B126" s="50"/>
      <c r="C126" s="299"/>
      <c r="D126" s="299"/>
      <c r="E126" s="299"/>
      <c r="F126" s="299"/>
      <c r="G126" s="299"/>
      <c r="H126" s="299"/>
      <c r="I126" s="299"/>
    </row>
    <row r="127" spans="2:9" x14ac:dyDescent="0.25">
      <c r="C127" s="299"/>
      <c r="D127" s="299"/>
      <c r="E127" s="299"/>
      <c r="F127" s="299"/>
      <c r="G127" s="299"/>
      <c r="H127" s="299"/>
      <c r="I127" s="299"/>
    </row>
    <row r="128" spans="2:9" x14ac:dyDescent="0.25">
      <c r="C128" s="683"/>
      <c r="D128" s="683"/>
      <c r="E128" s="683"/>
      <c r="F128" s="683"/>
      <c r="G128" s="683"/>
      <c r="H128" s="683"/>
      <c r="I128" s="683"/>
    </row>
    <row r="129" spans="2:9" x14ac:dyDescent="0.25">
      <c r="C129" s="1"/>
      <c r="D129" s="1"/>
      <c r="E129" s="1"/>
      <c r="F129" s="1"/>
      <c r="G129" s="1"/>
      <c r="H129" s="1"/>
      <c r="I129" s="1"/>
    </row>
    <row r="130" spans="2:9" x14ac:dyDescent="0.25">
      <c r="C130" s="1"/>
      <c r="D130" s="1"/>
      <c r="E130" s="1"/>
      <c r="F130" s="1"/>
      <c r="G130" s="1"/>
      <c r="H130" s="1"/>
      <c r="I130" s="1"/>
    </row>
    <row r="131" spans="2:9" x14ac:dyDescent="0.25">
      <c r="C131" s="1"/>
      <c r="D131" s="1"/>
      <c r="E131" s="1"/>
      <c r="F131" s="1"/>
      <c r="G131" s="1"/>
      <c r="H131" s="1"/>
      <c r="I131" s="1"/>
    </row>
    <row r="132" spans="2:9" x14ac:dyDescent="0.25">
      <c r="C132" s="1"/>
      <c r="D132" s="1"/>
      <c r="E132" s="1"/>
      <c r="F132" s="1"/>
      <c r="G132" s="1"/>
      <c r="H132" s="1"/>
      <c r="I132" s="1"/>
    </row>
    <row r="133" spans="2:9" x14ac:dyDescent="0.25">
      <c r="C133" s="1"/>
      <c r="D133" s="1"/>
      <c r="E133" s="1"/>
      <c r="F133" s="1"/>
      <c r="G133" s="1"/>
      <c r="H133" s="1"/>
      <c r="I133" s="1"/>
    </row>
    <row r="134" spans="2:9" x14ac:dyDescent="0.25">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681"/>
      <c r="C138" s="682"/>
      <c r="D138" s="682"/>
      <c r="E138" s="682"/>
      <c r="F138" s="682"/>
      <c r="G138" s="682"/>
      <c r="H138" s="682"/>
      <c r="I138" s="682"/>
    </row>
    <row r="139" spans="2:9" x14ac:dyDescent="0.25">
      <c r="B139" s="50"/>
      <c r="C139" s="299"/>
      <c r="D139" s="299"/>
      <c r="E139" s="299"/>
      <c r="F139" s="299"/>
      <c r="G139" s="299"/>
      <c r="H139" s="299"/>
      <c r="I139" s="299"/>
    </row>
    <row r="140" spans="2:9" x14ac:dyDescent="0.25">
      <c r="B140" s="50"/>
      <c r="C140" s="299"/>
      <c r="D140" s="299"/>
      <c r="E140" s="299"/>
      <c r="F140" s="299"/>
      <c r="G140" s="299"/>
      <c r="H140" s="299"/>
      <c r="I140" s="299"/>
    </row>
    <row r="141" spans="2:9" x14ac:dyDescent="0.25">
      <c r="B141" s="50"/>
      <c r="C141" s="299"/>
      <c r="D141" s="299"/>
      <c r="E141" s="299"/>
      <c r="F141" s="299"/>
      <c r="G141" s="299"/>
      <c r="H141" s="299"/>
      <c r="I141" s="299"/>
    </row>
    <row r="142" spans="2:9" x14ac:dyDescent="0.25">
      <c r="B142" s="50"/>
      <c r="C142" s="299"/>
      <c r="D142" s="299"/>
      <c r="E142" s="299"/>
      <c r="F142" s="299"/>
      <c r="G142" s="299"/>
      <c r="H142" s="299"/>
      <c r="I142" s="299"/>
    </row>
    <row r="143" spans="2:9" x14ac:dyDescent="0.25">
      <c r="B143" s="50"/>
      <c r="C143" s="299"/>
      <c r="D143" s="299"/>
      <c r="E143" s="299"/>
      <c r="F143" s="299"/>
      <c r="G143" s="299"/>
      <c r="H143" s="299"/>
      <c r="I143" s="299"/>
    </row>
    <row r="144" spans="2:9" x14ac:dyDescent="0.25">
      <c r="B144" s="50"/>
      <c r="C144" s="299"/>
      <c r="D144" s="299"/>
      <c r="E144" s="299"/>
      <c r="F144" s="299"/>
      <c r="G144" s="299"/>
      <c r="H144" s="299"/>
      <c r="I144" s="299"/>
    </row>
    <row r="146" spans="2:9" x14ac:dyDescent="0.25">
      <c r="B146" s="298"/>
      <c r="C146" s="300"/>
      <c r="D146" s="300"/>
      <c r="E146" s="300"/>
      <c r="F146" s="300"/>
      <c r="G146" s="300"/>
      <c r="H146" s="300"/>
      <c r="I146" s="300"/>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8"/>
      <c r="C153" s="18"/>
      <c r="D153" s="18"/>
      <c r="E153" s="18"/>
      <c r="F153" s="18"/>
      <c r="G153" s="18"/>
      <c r="H153" s="18"/>
      <c r="I153" s="18"/>
    </row>
    <row r="154" spans="2:9" x14ac:dyDescent="0.25">
      <c r="B154" s="682"/>
      <c r="C154" s="682"/>
      <c r="D154" s="682"/>
      <c r="E154" s="682"/>
      <c r="F154" s="682"/>
      <c r="G154" s="682"/>
      <c r="H154" s="682"/>
      <c r="I154" s="682"/>
    </row>
    <row r="155" spans="2:9" x14ac:dyDescent="0.25">
      <c r="B155" s="18"/>
      <c r="C155" s="18"/>
      <c r="D155" s="18"/>
      <c r="E155" s="18"/>
      <c r="F155" s="18"/>
      <c r="G155" s="18"/>
      <c r="H155" s="18"/>
      <c r="I155" s="18"/>
    </row>
    <row r="156" spans="2:9" x14ac:dyDescent="0.25">
      <c r="B156" s="681"/>
      <c r="C156" s="682"/>
      <c r="D156" s="682"/>
      <c r="E156" s="682"/>
      <c r="F156" s="682"/>
      <c r="G156" s="682"/>
      <c r="H156" s="682"/>
    </row>
    <row r="157" spans="2:9" x14ac:dyDescent="0.25">
      <c r="B157" s="6"/>
      <c r="C157" s="684"/>
      <c r="D157" s="684"/>
      <c r="E157" s="684"/>
      <c r="F157" s="684"/>
      <c r="G157" s="684"/>
      <c r="H157" s="684"/>
    </row>
    <row r="158" spans="2:9" x14ac:dyDescent="0.25">
      <c r="B158" s="6"/>
      <c r="C158" s="684"/>
      <c r="D158" s="684"/>
      <c r="E158" s="684"/>
      <c r="F158" s="684"/>
      <c r="G158" s="684"/>
      <c r="H158" s="684"/>
    </row>
    <row r="159" spans="2:9" x14ac:dyDescent="0.25">
      <c r="B159" s="6"/>
      <c r="C159" s="684"/>
      <c r="D159" s="684"/>
      <c r="E159" s="684"/>
      <c r="F159" s="684"/>
      <c r="G159" s="684"/>
      <c r="H159" s="684"/>
    </row>
    <row r="160" spans="2:9" x14ac:dyDescent="0.25">
      <c r="B160" s="6"/>
      <c r="C160" s="684"/>
      <c r="D160" s="684"/>
      <c r="E160" s="684"/>
      <c r="F160" s="684"/>
      <c r="G160" s="684"/>
      <c r="H160" s="684"/>
    </row>
    <row r="161" spans="2:8" x14ac:dyDescent="0.25">
      <c r="B161" s="6"/>
      <c r="C161" s="684"/>
      <c r="D161" s="684"/>
      <c r="E161" s="684"/>
      <c r="F161" s="684"/>
      <c r="G161" s="684"/>
      <c r="H161" s="684"/>
    </row>
    <row r="162" spans="2:8" x14ac:dyDescent="0.25">
      <c r="B162" s="6"/>
      <c r="C162" s="684"/>
      <c r="D162" s="684"/>
      <c r="E162" s="684"/>
      <c r="F162" s="684"/>
      <c r="G162" s="684"/>
      <c r="H162" s="684"/>
    </row>
    <row r="163" spans="2:8" x14ac:dyDescent="0.25">
      <c r="B163" s="6"/>
      <c r="C163" s="684"/>
      <c r="D163" s="684"/>
      <c r="E163" s="684"/>
      <c r="F163" s="684"/>
      <c r="G163" s="684"/>
      <c r="H163" s="684"/>
    </row>
    <row r="164" spans="2:8" x14ac:dyDescent="0.25">
      <c r="B164" s="6"/>
      <c r="C164" s="684"/>
      <c r="D164" s="684"/>
      <c r="E164" s="684"/>
      <c r="F164" s="684"/>
      <c r="G164" s="684"/>
      <c r="H164" s="684"/>
    </row>
    <row r="165" spans="2:8" x14ac:dyDescent="0.25">
      <c r="B165" s="6"/>
      <c r="C165" s="684"/>
      <c r="D165" s="684"/>
      <c r="E165" s="684"/>
      <c r="F165" s="684"/>
      <c r="G165" s="684"/>
      <c r="H165" s="684"/>
    </row>
    <row r="166" spans="2:8" x14ac:dyDescent="0.25">
      <c r="B166" s="18"/>
      <c r="C166" s="18"/>
      <c r="D166" s="18"/>
      <c r="E166" s="18"/>
      <c r="F166" s="18"/>
      <c r="G166" s="18"/>
      <c r="H166" s="18"/>
    </row>
    <row r="167" spans="2:8" x14ac:dyDescent="0.25">
      <c r="B167" s="18"/>
      <c r="C167" s="18"/>
      <c r="D167" s="18"/>
      <c r="E167" s="18"/>
      <c r="F167" s="18"/>
      <c r="G167" s="18"/>
      <c r="H167" s="18"/>
    </row>
    <row r="168" spans="2:8" x14ac:dyDescent="0.25">
      <c r="B168" s="18"/>
      <c r="C168" s="18"/>
      <c r="D168" s="18"/>
      <c r="E168" s="18"/>
      <c r="F168" s="18"/>
      <c r="G168" s="18"/>
      <c r="H168" s="18"/>
    </row>
    <row r="169" spans="2:8" x14ac:dyDescent="0.25">
      <c r="C169" s="299"/>
      <c r="D169" s="299"/>
      <c r="E169" s="299"/>
      <c r="F169" s="299"/>
      <c r="G169" s="299"/>
      <c r="H169" s="299"/>
    </row>
    <row r="170" spans="2:8" x14ac:dyDescent="0.25">
      <c r="B170" s="50"/>
      <c r="C170" s="685"/>
      <c r="D170" s="685"/>
      <c r="E170" s="685"/>
      <c r="F170" s="685"/>
      <c r="G170" s="685"/>
      <c r="H170" s="685"/>
    </row>
    <row r="171" spans="2:8" x14ac:dyDescent="0.25">
      <c r="B171" s="18"/>
      <c r="C171" s="18"/>
      <c r="D171" s="18"/>
      <c r="E171" s="18"/>
      <c r="F171" s="18"/>
      <c r="G171" s="18"/>
      <c r="H171" s="18"/>
    </row>
    <row r="172" spans="2:8" x14ac:dyDescent="0.25">
      <c r="B172" s="686"/>
      <c r="C172" s="299"/>
      <c r="D172" s="299"/>
      <c r="E172" s="299"/>
      <c r="F172" s="299"/>
      <c r="G172" s="299"/>
      <c r="H172" s="299"/>
    </row>
  </sheetData>
  <mergeCells count="2">
    <mergeCell ref="B119:I119"/>
    <mergeCell ref="J27:J28"/>
  </mergeCells>
  <conditionalFormatting sqref="D30">
    <cfRule type="expression" dxfId="21" priority="28">
      <formula>IF(AND(30&lt;D30,D30&lt;90),TRUE,FALSE)</formula>
    </cfRule>
    <cfRule type="expression" dxfId="20" priority="29">
      <formula>IF(D30&lt;30,TRUE,FALSE)</formula>
    </cfRule>
  </conditionalFormatting>
  <conditionalFormatting sqref="D93:D97">
    <cfRule type="cellIs" dxfId="19" priority="3" operator="equal">
      <formula>"OK"</formula>
    </cfRule>
    <cfRule type="cellIs" dxfId="18" priority="4" operator="equal">
      <formula>"Préoccupant"</formula>
    </cfRule>
    <cfRule type="cellIs" dxfId="17" priority="5" operator="equal">
      <formula>"Grave"</formula>
    </cfRule>
    <cfRule type="cellIs" dxfId="16" priority="6" operator="equal">
      <formula>"Très grave"</formula>
    </cfRule>
  </conditionalFormatting>
  <conditionalFormatting sqref="D30:E30">
    <cfRule type="expression" dxfId="15" priority="26">
      <formula>IF(D30&gt;90,TRUE,FALSE)</formula>
    </cfRule>
  </conditionalFormatting>
  <conditionalFormatting sqref="D27:H28">
    <cfRule type="containsText" dxfId="14" priority="45" operator="containsText" text="grave">
      <formula>NOT(ISERROR(SEARCH("grave",D27)))</formula>
    </cfRule>
    <cfRule type="containsText" dxfId="13" priority="46" operator="containsText" text="Non">
      <formula>NOT(ISERROR(SEARCH("Non",D27)))</formula>
    </cfRule>
  </conditionalFormatting>
  <conditionalFormatting sqref="D14:I18">
    <cfRule type="colorScale" priority="47">
      <colorScale>
        <cfvo type="min"/>
        <cfvo type="num" val="60"/>
        <cfvo type="num" val="180"/>
        <color rgb="FF99FF99"/>
        <color rgb="FFFFEB84"/>
        <color rgb="FFFF0000"/>
      </colorScale>
    </cfRule>
  </conditionalFormatting>
  <conditionalFormatting sqref="D31:I31">
    <cfRule type="colorScale" priority="38">
      <colorScale>
        <cfvo type="num" val="0"/>
        <cfvo type="num" val="31"/>
        <cfvo type="num" val="60"/>
        <color rgb="FFFF0000"/>
        <color rgb="FFFFEB84"/>
        <color rgb="FF99FF99"/>
      </colorScale>
    </cfRule>
  </conditionalFormatting>
  <conditionalFormatting sqref="D32:I32">
    <cfRule type="colorScale" priority="37">
      <colorScale>
        <cfvo type="num" val="1"/>
        <cfvo type="num" val="2"/>
        <cfvo type="num" val="3"/>
        <color rgb="FFFF0000"/>
        <color rgb="FFFFEB84"/>
        <color rgb="FF99FF99"/>
      </colorScale>
    </cfRule>
  </conditionalFormatting>
  <conditionalFormatting sqref="D33:I33">
    <cfRule type="colorScale" priority="36">
      <colorScale>
        <cfvo type="num" val="0.3"/>
        <cfvo type="num" val="0.5"/>
        <cfvo type="num" val="0.7"/>
        <color rgb="FF99FF99"/>
        <color rgb="FFFFEB84"/>
        <color rgb="FFF8696B"/>
      </colorScale>
    </cfRule>
  </conditionalFormatting>
  <conditionalFormatting sqref="D34:I34">
    <cfRule type="colorScale" priority="33">
      <colorScale>
        <cfvo type="num" val="0"/>
        <cfvo type="num" val="1"/>
        <cfvo type="num" val="3"/>
        <color rgb="FF99FF99"/>
        <color rgb="FFFFEB84"/>
        <color rgb="FFFF3300"/>
      </colorScale>
    </cfRule>
  </conditionalFormatting>
  <conditionalFormatting sqref="E30">
    <cfRule type="expression" dxfId="12" priority="25">
      <formula>IF(AND(30&lt;E30,E30&lt;90),TRUE,FALSE)</formula>
    </cfRule>
  </conditionalFormatting>
  <conditionalFormatting sqref="E30:F30">
    <cfRule type="expression" dxfId="11" priority="23">
      <formula>IF(E30&lt;30,TRUE,FALSE)</formula>
    </cfRule>
  </conditionalFormatting>
  <conditionalFormatting sqref="E29:H29">
    <cfRule type="colorScale" priority="39">
      <colorScale>
        <cfvo type="num" val="-0.3"/>
        <cfvo type="num" val="0"/>
        <cfvo type="max"/>
        <color rgb="FFF8696B"/>
        <color rgb="FFFFEB84"/>
        <color rgb="FF99FF99"/>
      </colorScale>
    </cfRule>
  </conditionalFormatting>
  <conditionalFormatting sqref="F30">
    <cfRule type="expression" dxfId="10" priority="22">
      <formula>IF(AND(30&lt;F30,F30&lt;90),TRUE,FALSE)</formula>
    </cfRule>
  </conditionalFormatting>
  <conditionalFormatting sqref="F30:H30">
    <cfRule type="expression" dxfId="9" priority="19">
      <formula>IF(F30&gt;90,TRUE,FALSE)</formula>
    </cfRule>
  </conditionalFormatting>
  <conditionalFormatting sqref="G30:H30">
    <cfRule type="expression" dxfId="8" priority="17">
      <formula>IF(AND(30&lt;G30,G30&lt;90),TRUE,FALSE)</formula>
    </cfRule>
  </conditionalFormatting>
  <conditionalFormatting sqref="G30:I30">
    <cfRule type="expression" dxfId="7" priority="14">
      <formula>IF(G30&lt;30,TRUE,FALSE)</formula>
    </cfRule>
  </conditionalFormatting>
  <conditionalFormatting sqref="I29">
    <cfRule type="containsText" dxfId="6" priority="1" operator="containsText" text="Ok">
      <formula>NOT(ISERROR(SEARCH("Ok",I29)))</formula>
    </cfRule>
    <cfRule type="containsText" dxfId="5" priority="2" operator="containsText" text="Grave">
      <formula>NOT(ISERROR(SEARCH("Grave",I29)))</formula>
    </cfRule>
  </conditionalFormatting>
  <conditionalFormatting sqref="I30">
    <cfRule type="expression" dxfId="4" priority="12">
      <formula>IF(I30&gt;90,TRUE,FALSE)</formula>
    </cfRule>
    <cfRule type="expression" dxfId="3" priority="13">
      <formula>IF(AND(30&lt;I30,I30&lt;90),TRUE,FALSE)</formula>
    </cfRule>
  </conditionalFormatting>
  <pageMargins left="0.31496062992125984" right="0.31496062992125984" top="0.15748031496062992" bottom="0.15748031496062992" header="0.31496062992125984" footer="0.31496062992125984"/>
  <pageSetup paperSize="9" scale="6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8CC3-8025-46C1-89F4-5DB0BD5E487F}">
  <dimension ref="A1"/>
  <sheetViews>
    <sheetView tabSelected="1" workbookViewId="0">
      <selection activeCell="P13" sqref="P13"/>
    </sheetView>
  </sheetViews>
  <sheetFormatPr baseColWidth="10"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3"/>
  <sheetViews>
    <sheetView zoomScale="99" zoomScaleNormal="80" workbookViewId="0">
      <pane xSplit="2" ySplit="2" topLeftCell="C3" activePane="bottomRight" state="frozen"/>
      <selection pane="topRight" activeCell="C1" sqref="C1"/>
      <selection pane="bottomLeft" activeCell="A3" sqref="A3"/>
      <selection pane="bottomRight" activeCell="E80" sqref="E80"/>
    </sheetView>
  </sheetViews>
  <sheetFormatPr baseColWidth="10" defaultColWidth="11.453125" defaultRowHeight="12.5" x14ac:dyDescent="0.25"/>
  <cols>
    <col min="1" max="1" width="15.54296875" style="22" customWidth="1"/>
    <col min="2" max="2" width="58.08984375" style="22" customWidth="1"/>
    <col min="3" max="3" width="2" style="22" customWidth="1"/>
    <col min="4" max="4" width="13.453125" style="22" customWidth="1"/>
    <col min="5" max="5" width="14" style="22" customWidth="1"/>
    <col min="6" max="7" width="13.6328125" style="22" customWidth="1"/>
    <col min="8" max="8" width="14.08984375" style="22" customWidth="1"/>
    <col min="9" max="9" width="13.453125" style="22" customWidth="1"/>
    <col min="10" max="10" width="13.6328125" style="22" customWidth="1"/>
    <col min="11" max="11" width="12.6328125" style="22" customWidth="1"/>
    <col min="12" max="16384" width="11.453125" style="22"/>
  </cols>
  <sheetData>
    <row r="1" spans="1:9" ht="13" thickBot="1" x14ac:dyDescent="0.3">
      <c r="D1" s="22" t="s">
        <v>419</v>
      </c>
    </row>
    <row r="2" spans="1:9" ht="13" thickBot="1" x14ac:dyDescent="0.3">
      <c r="A2" s="22" t="s">
        <v>418</v>
      </c>
      <c r="B2" s="3" t="s">
        <v>125</v>
      </c>
      <c r="D2" s="28">
        <f>D12</f>
        <v>2023</v>
      </c>
      <c r="E2" s="29">
        <f>E12</f>
        <v>2024</v>
      </c>
      <c r="F2" s="30">
        <f>F12</f>
        <v>2025</v>
      </c>
    </row>
    <row r="3" spans="1:9" ht="13" thickBot="1" x14ac:dyDescent="0.3">
      <c r="B3" s="24"/>
    </row>
    <row r="4" spans="1:9" ht="13" thickBot="1" x14ac:dyDescent="0.3">
      <c r="B4" s="25" t="s">
        <v>329</v>
      </c>
      <c r="D4" s="377">
        <f>'Détails construc budget prev'!F20</f>
        <v>61088.638589618029</v>
      </c>
      <c r="E4" s="378">
        <f>'Détails construc budget prev'!I20</f>
        <v>44400</v>
      </c>
      <c r="F4" s="364">
        <f>'Détails construc budget prev'!L20</f>
        <v>95500</v>
      </c>
    </row>
    <row r="5" spans="1:9" x14ac:dyDescent="0.25">
      <c r="B5" s="25" t="s">
        <v>87</v>
      </c>
      <c r="D5" s="377">
        <f>'Détails construc budget prev'!F24</f>
        <v>10500</v>
      </c>
      <c r="E5" s="378">
        <f>'Détails construc budget prev'!I24</f>
        <v>9600</v>
      </c>
      <c r="F5" s="364">
        <f>'Détails construc budget prev'!L24</f>
        <v>0</v>
      </c>
    </row>
    <row r="8" spans="1:9" x14ac:dyDescent="0.25">
      <c r="B8" s="184"/>
      <c r="D8" s="280"/>
      <c r="E8" s="280"/>
      <c r="F8" s="280"/>
      <c r="G8" s="184"/>
      <c r="H8" s="280"/>
      <c r="I8" s="280"/>
    </row>
    <row r="9" spans="1:9" x14ac:dyDescent="0.25">
      <c r="B9" s="184"/>
      <c r="D9" s="280"/>
      <c r="E9" s="280"/>
      <c r="F9" s="280"/>
      <c r="G9" s="184"/>
      <c r="H9" s="280"/>
      <c r="I9" s="280"/>
    </row>
    <row r="10" spans="1:9" x14ac:dyDescent="0.25">
      <c r="B10" s="49" t="s">
        <v>342</v>
      </c>
      <c r="C10" s="53"/>
      <c r="D10" s="53"/>
      <c r="E10" s="53"/>
      <c r="F10" s="53"/>
      <c r="G10" s="53"/>
      <c r="H10" s="280"/>
      <c r="I10" s="280"/>
    </row>
    <row r="11" spans="1:9" ht="13" thickBot="1" x14ac:dyDescent="0.3">
      <c r="B11" s="454"/>
      <c r="D11" s="280"/>
      <c r="E11" s="280"/>
      <c r="F11" s="280"/>
      <c r="G11" s="184"/>
      <c r="H11" s="280"/>
      <c r="I11" s="280"/>
    </row>
    <row r="12" spans="1:9" ht="13" thickBot="1" x14ac:dyDescent="0.3">
      <c r="B12" s="156" t="s">
        <v>402</v>
      </c>
      <c r="D12" s="217">
        <f>'Détails construc budget prev'!D6</f>
        <v>2023</v>
      </c>
      <c r="E12" s="186">
        <f>'Détails construc budget prev'!G6</f>
        <v>2024</v>
      </c>
      <c r="F12" s="218">
        <f>'Détails construc budget prev'!J6</f>
        <v>2025</v>
      </c>
    </row>
    <row r="13" spans="1:9" ht="13" thickBot="1" x14ac:dyDescent="0.3"/>
    <row r="14" spans="1:9" x14ac:dyDescent="0.25">
      <c r="B14" s="59" t="s">
        <v>81</v>
      </c>
      <c r="D14" s="377"/>
      <c r="E14" s="378">
        <v>5000</v>
      </c>
      <c r="F14" s="364">
        <v>6000</v>
      </c>
    </row>
    <row r="15" spans="1:9" x14ac:dyDescent="0.25">
      <c r="B15" s="33" t="s">
        <v>85</v>
      </c>
      <c r="D15" s="379">
        <v>1500</v>
      </c>
      <c r="E15" s="380">
        <v>7000</v>
      </c>
      <c r="F15" s="367">
        <v>5000</v>
      </c>
    </row>
    <row r="16" spans="1:9" x14ac:dyDescent="0.25">
      <c r="B16" s="33" t="s">
        <v>8</v>
      </c>
      <c r="D16" s="379"/>
      <c r="E16" s="380"/>
      <c r="F16" s="367"/>
    </row>
    <row r="17" spans="2:6" x14ac:dyDescent="0.25">
      <c r="B17" s="33" t="s">
        <v>86</v>
      </c>
      <c r="D17" s="379"/>
      <c r="E17" s="380"/>
      <c r="F17" s="367"/>
    </row>
    <row r="18" spans="2:6" ht="13" thickBot="1" x14ac:dyDescent="0.3">
      <c r="B18" s="60" t="s">
        <v>331</v>
      </c>
      <c r="D18" s="379"/>
      <c r="E18" s="380"/>
      <c r="F18" s="367"/>
    </row>
    <row r="19" spans="2:6" ht="13" thickBot="1" x14ac:dyDescent="0.3">
      <c r="B19" s="450" t="s">
        <v>237</v>
      </c>
      <c r="D19" s="451">
        <f>SUM(D14:D18)</f>
        <v>1500</v>
      </c>
      <c r="E19" s="452">
        <f t="shared" ref="E19:F19" si="0">SUM(E14:E18)</f>
        <v>12000</v>
      </c>
      <c r="F19" s="453">
        <f t="shared" si="0"/>
        <v>11000</v>
      </c>
    </row>
    <row r="20" spans="2:6" ht="13" thickBot="1" x14ac:dyDescent="0.3"/>
    <row r="21" spans="2:6" ht="25.5" thickBot="1" x14ac:dyDescent="0.3">
      <c r="B21" s="156" t="s">
        <v>108</v>
      </c>
    </row>
    <row r="22" spans="2:6" ht="13" thickBot="1" x14ac:dyDescent="0.3"/>
    <row r="23" spans="2:6" x14ac:dyDescent="0.25">
      <c r="B23" s="445" t="s">
        <v>333</v>
      </c>
      <c r="D23" s="377"/>
      <c r="E23" s="378">
        <v>3000</v>
      </c>
      <c r="F23" s="364"/>
    </row>
    <row r="24" spans="2:6" x14ac:dyDescent="0.25">
      <c r="B24" s="446" t="s">
        <v>338</v>
      </c>
      <c r="D24" s="379"/>
      <c r="E24" s="380"/>
      <c r="F24" s="367"/>
    </row>
    <row r="25" spans="2:6" x14ac:dyDescent="0.25">
      <c r="B25" s="446" t="s">
        <v>339</v>
      </c>
      <c r="D25" s="379"/>
      <c r="E25" s="380"/>
      <c r="F25" s="367"/>
    </row>
    <row r="26" spans="2:6" ht="13" thickBot="1" x14ac:dyDescent="0.3">
      <c r="B26" s="447" t="s">
        <v>340</v>
      </c>
      <c r="D26" s="379"/>
      <c r="E26" s="380"/>
      <c r="F26" s="367"/>
    </row>
    <row r="27" spans="2:6" ht="13" thickBot="1" x14ac:dyDescent="0.3">
      <c r="B27" s="450" t="s">
        <v>237</v>
      </c>
      <c r="D27" s="451">
        <f>SUM(D23:D26)</f>
        <v>0</v>
      </c>
      <c r="E27" s="452">
        <f t="shared" ref="E27:F27" si="1">SUM(E23:E26)</f>
        <v>3000</v>
      </c>
      <c r="F27" s="453">
        <f t="shared" si="1"/>
        <v>0</v>
      </c>
    </row>
    <row r="28" spans="2:6" ht="13" thickBot="1" x14ac:dyDescent="0.3"/>
    <row r="29" spans="2:6" ht="13" thickBot="1" x14ac:dyDescent="0.3">
      <c r="B29" s="156" t="s">
        <v>201</v>
      </c>
      <c r="D29" s="217">
        <f>D12</f>
        <v>2023</v>
      </c>
      <c r="E29" s="186">
        <f>E12</f>
        <v>2024</v>
      </c>
      <c r="F29" s="218">
        <f>F12</f>
        <v>2025</v>
      </c>
    </row>
    <row r="30" spans="2:6" ht="13" thickBot="1" x14ac:dyDescent="0.3"/>
    <row r="31" spans="2:6" x14ac:dyDescent="0.25">
      <c r="B31" s="59" t="s">
        <v>81</v>
      </c>
      <c r="D31" s="377"/>
      <c r="E31" s="378"/>
      <c r="F31" s="364"/>
    </row>
    <row r="32" spans="2:6" x14ac:dyDescent="0.25">
      <c r="B32" s="33" t="s">
        <v>85</v>
      </c>
      <c r="D32" s="379"/>
      <c r="E32" s="380"/>
      <c r="F32" s="367"/>
    </row>
    <row r="33" spans="1:12" x14ac:dyDescent="0.25">
      <c r="B33" s="33" t="s">
        <v>8</v>
      </c>
      <c r="D33" s="379"/>
      <c r="E33" s="380">
        <v>20000</v>
      </c>
      <c r="F33" s="367"/>
    </row>
    <row r="34" spans="1:12" x14ac:dyDescent="0.25">
      <c r="B34" s="33" t="s">
        <v>86</v>
      </c>
      <c r="D34" s="379"/>
      <c r="E34" s="380"/>
      <c r="F34" s="367"/>
    </row>
    <row r="35" spans="1:12" ht="13" thickBot="1" x14ac:dyDescent="0.3">
      <c r="B35" s="60" t="s">
        <v>331</v>
      </c>
      <c r="D35" s="379"/>
      <c r="E35" s="380"/>
      <c r="F35" s="367"/>
    </row>
    <row r="36" spans="1:12" ht="13" thickBot="1" x14ac:dyDescent="0.3">
      <c r="B36" s="450" t="s">
        <v>237</v>
      </c>
      <c r="D36" s="451">
        <f>SUM(D31:D35)</f>
        <v>0</v>
      </c>
      <c r="E36" s="452">
        <f t="shared" ref="E36:F36" si="2">SUM(E31:E35)</f>
        <v>20000</v>
      </c>
      <c r="F36" s="453">
        <f t="shared" si="2"/>
        <v>0</v>
      </c>
    </row>
    <row r="38" spans="1:12" x14ac:dyDescent="0.25">
      <c r="B38" s="49" t="s">
        <v>271</v>
      </c>
      <c r="C38" s="53"/>
      <c r="D38" s="53"/>
      <c r="E38" s="53"/>
      <c r="F38" s="53"/>
      <c r="G38" s="53"/>
    </row>
    <row r="40" spans="1:12" ht="13" thickBot="1" x14ac:dyDescent="0.3"/>
    <row r="41" spans="1:12" ht="13" thickBot="1" x14ac:dyDescent="0.3">
      <c r="B41" s="140" t="s">
        <v>244</v>
      </c>
      <c r="D41" s="185">
        <f>D2</f>
        <v>2023</v>
      </c>
      <c r="E41" s="185">
        <f>E2</f>
        <v>2024</v>
      </c>
      <c r="F41" s="185">
        <f>F2</f>
        <v>2025</v>
      </c>
    </row>
    <row r="42" spans="1:12" ht="13" thickBot="1" x14ac:dyDescent="0.3">
      <c r="B42" s="192"/>
      <c r="D42" s="155"/>
      <c r="E42" s="155"/>
      <c r="F42" s="155"/>
    </row>
    <row r="43" spans="1:12" x14ac:dyDescent="0.25">
      <c r="A43" s="22" t="s">
        <v>427</v>
      </c>
      <c r="B43" s="109" t="s">
        <v>145</v>
      </c>
      <c r="D43" s="379">
        <v>500</v>
      </c>
      <c r="E43" s="380">
        <v>500</v>
      </c>
      <c r="F43" s="367">
        <v>500</v>
      </c>
    </row>
    <row r="44" spans="1:12" ht="13.25" customHeight="1" x14ac:dyDescent="0.25">
      <c r="A44" s="22">
        <v>613</v>
      </c>
      <c r="B44" s="105" t="s">
        <v>146</v>
      </c>
      <c r="D44" s="379">
        <v>5000</v>
      </c>
      <c r="E44" s="380">
        <v>5000</v>
      </c>
      <c r="F44" s="367">
        <v>5000</v>
      </c>
      <c r="J44" s="81"/>
      <c r="K44" s="81"/>
      <c r="L44" s="81"/>
    </row>
    <row r="45" spans="1:12" x14ac:dyDescent="0.25">
      <c r="A45" s="22">
        <v>6061</v>
      </c>
      <c r="B45" s="105" t="s">
        <v>147</v>
      </c>
      <c r="D45" s="379">
        <v>50</v>
      </c>
      <c r="E45" s="380">
        <v>50</v>
      </c>
      <c r="F45" s="367">
        <v>50</v>
      </c>
      <c r="J45" s="280"/>
      <c r="K45" s="280"/>
      <c r="L45" s="280"/>
    </row>
    <row r="46" spans="1:12" x14ac:dyDescent="0.25">
      <c r="A46" s="22">
        <v>614</v>
      </c>
      <c r="B46" s="105" t="s">
        <v>148</v>
      </c>
      <c r="D46" s="379">
        <v>3000</v>
      </c>
      <c r="E46" s="380">
        <v>3000</v>
      </c>
      <c r="F46" s="367">
        <v>3000</v>
      </c>
    </row>
    <row r="47" spans="1:12" x14ac:dyDescent="0.25">
      <c r="A47" s="22">
        <v>615</v>
      </c>
      <c r="B47" s="105" t="s">
        <v>149</v>
      </c>
      <c r="D47" s="379"/>
      <c r="E47" s="380"/>
      <c r="F47" s="367"/>
    </row>
    <row r="48" spans="1:12" x14ac:dyDescent="0.25">
      <c r="A48" s="22">
        <v>616</v>
      </c>
      <c r="B48" s="105" t="s">
        <v>150</v>
      </c>
      <c r="D48" s="379"/>
      <c r="E48" s="380"/>
      <c r="F48" s="367"/>
    </row>
    <row r="49" spans="1:11" x14ac:dyDescent="0.25">
      <c r="A49" s="22">
        <v>611</v>
      </c>
      <c r="B49" s="105" t="s">
        <v>151</v>
      </c>
      <c r="D49" s="379"/>
      <c r="E49" s="380"/>
      <c r="F49" s="367"/>
    </row>
    <row r="50" spans="1:11" x14ac:dyDescent="0.25">
      <c r="A50" s="22">
        <v>626</v>
      </c>
      <c r="B50" s="105" t="s">
        <v>153</v>
      </c>
      <c r="D50" s="379"/>
      <c r="E50" s="380"/>
      <c r="F50" s="367"/>
    </row>
    <row r="51" spans="1:11" x14ac:dyDescent="0.25">
      <c r="A51" s="22">
        <v>625</v>
      </c>
      <c r="B51" s="105" t="s">
        <v>169</v>
      </c>
      <c r="D51" s="379"/>
      <c r="E51" s="380"/>
      <c r="F51" s="367"/>
    </row>
    <row r="52" spans="1:11" x14ac:dyDescent="0.25">
      <c r="A52" s="22" t="s">
        <v>428</v>
      </c>
      <c r="B52" s="105" t="s">
        <v>99</v>
      </c>
      <c r="D52" s="379"/>
      <c r="E52" s="380"/>
      <c r="F52" s="367"/>
    </row>
    <row r="53" spans="1:11" x14ac:dyDescent="0.25">
      <c r="A53" s="22">
        <v>626</v>
      </c>
      <c r="B53" s="105" t="s">
        <v>90</v>
      </c>
      <c r="D53" s="379"/>
      <c r="E53" s="380"/>
      <c r="F53" s="367"/>
    </row>
    <row r="54" spans="1:11" x14ac:dyDescent="0.25">
      <c r="A54" s="22" t="s">
        <v>429</v>
      </c>
      <c r="B54" s="33" t="s">
        <v>98</v>
      </c>
      <c r="D54" s="379"/>
      <c r="E54" s="380"/>
      <c r="F54" s="367"/>
    </row>
    <row r="55" spans="1:11" x14ac:dyDescent="0.25">
      <c r="A55" s="22">
        <v>651</v>
      </c>
      <c r="B55" s="528" t="s">
        <v>91</v>
      </c>
      <c r="D55" s="379"/>
      <c r="E55" s="380"/>
      <c r="F55" s="367"/>
    </row>
    <row r="56" spans="1:11" x14ac:dyDescent="0.25">
      <c r="A56" s="22">
        <v>6256</v>
      </c>
      <c r="B56" s="528" t="s">
        <v>170</v>
      </c>
      <c r="D56" s="379"/>
      <c r="E56" s="380"/>
      <c r="F56" s="367"/>
    </row>
    <row r="57" spans="1:11" x14ac:dyDescent="0.25">
      <c r="A57" s="22" t="s">
        <v>430</v>
      </c>
      <c r="B57" s="191" t="s">
        <v>175</v>
      </c>
      <c r="D57" s="379">
        <v>300</v>
      </c>
      <c r="E57" s="380">
        <v>450</v>
      </c>
      <c r="F57" s="367">
        <v>600</v>
      </c>
    </row>
    <row r="58" spans="1:11" ht="13" thickBot="1" x14ac:dyDescent="0.3">
      <c r="B58" s="188" t="s">
        <v>175</v>
      </c>
      <c r="D58" s="379"/>
      <c r="E58" s="380"/>
      <c r="F58" s="367"/>
    </row>
    <row r="59" spans="1:11" ht="13" thickBot="1" x14ac:dyDescent="0.3">
      <c r="B59" s="450" t="s">
        <v>39</v>
      </c>
      <c r="D59" s="450">
        <f>SUM(D43:D58)</f>
        <v>8850</v>
      </c>
      <c r="E59" s="450">
        <f>SUM(E43:E58)</f>
        <v>9000</v>
      </c>
      <c r="F59" s="450">
        <f>SUM(F43:F58)</f>
        <v>9150</v>
      </c>
    </row>
    <row r="62" spans="1:11" x14ac:dyDescent="0.25">
      <c r="B62" s="49" t="s">
        <v>330</v>
      </c>
      <c r="C62" s="88"/>
      <c r="D62" s="88"/>
      <c r="E62" s="88"/>
      <c r="F62" s="88"/>
      <c r="G62" s="88"/>
    </row>
    <row r="64" spans="1:11" ht="13" thickBot="1" x14ac:dyDescent="0.3">
      <c r="B64" s="54"/>
      <c r="C64" s="54"/>
      <c r="D64" s="18"/>
      <c r="E64" s="18"/>
      <c r="F64" s="18"/>
      <c r="G64" s="18"/>
      <c r="J64" s="18"/>
      <c r="K64" s="18"/>
    </row>
    <row r="65" spans="1:8" ht="13" thickBot="1" x14ac:dyDescent="0.3">
      <c r="B65" s="3" t="s">
        <v>125</v>
      </c>
      <c r="D65" s="157">
        <f>'Saisie comptes'!H4</f>
        <v>2022</v>
      </c>
      <c r="E65" s="158">
        <f>D65+1</f>
        <v>2023</v>
      </c>
      <c r="F65" s="158">
        <f>E65+1</f>
        <v>2024</v>
      </c>
      <c r="G65" s="159">
        <f>F65+1</f>
        <v>2025</v>
      </c>
    </row>
    <row r="66" spans="1:8" ht="13" thickBot="1" x14ac:dyDescent="0.3">
      <c r="D66" s="160"/>
      <c r="E66" s="158"/>
      <c r="F66" s="158"/>
      <c r="G66" s="162"/>
      <c r="H66" s="2"/>
    </row>
    <row r="67" spans="1:8" x14ac:dyDescent="0.25">
      <c r="B67" s="25" t="s">
        <v>329</v>
      </c>
      <c r="D67" s="424">
        <f>'Saisie comptes'!H49</f>
        <v>0</v>
      </c>
      <c r="E67" s="427">
        <f>'Détails construc budget prev'!F20</f>
        <v>61088.638589618029</v>
      </c>
      <c r="F67" s="428">
        <f>'Détails construc budget prev'!I20</f>
        <v>44400</v>
      </c>
      <c r="G67" s="429">
        <f>'Détails construc budget prev'!L20</f>
        <v>95500</v>
      </c>
      <c r="H67" s="1"/>
    </row>
    <row r="68" spans="1:8" x14ac:dyDescent="0.25">
      <c r="B68" s="26" t="s">
        <v>102</v>
      </c>
      <c r="D68" s="425">
        <f>'Saisie comptes'!H54</f>
        <v>0</v>
      </c>
      <c r="E68" s="430">
        <f>D36</f>
        <v>0</v>
      </c>
      <c r="F68" s="430">
        <f>E36</f>
        <v>20000</v>
      </c>
      <c r="G68" s="458">
        <f>F36</f>
        <v>0</v>
      </c>
      <c r="H68" s="1"/>
    </row>
    <row r="69" spans="1:8" x14ac:dyDescent="0.25">
      <c r="A69" s="22">
        <v>74</v>
      </c>
      <c r="B69" s="26" t="s">
        <v>26</v>
      </c>
      <c r="D69" s="426">
        <f>'Saisie comptes'!H55</f>
        <v>0</v>
      </c>
      <c r="E69" s="430">
        <f>D19</f>
        <v>1500</v>
      </c>
      <c r="F69" s="430">
        <f>E19</f>
        <v>12000</v>
      </c>
      <c r="G69" s="458">
        <f>F19</f>
        <v>11000</v>
      </c>
      <c r="H69" s="1"/>
    </row>
    <row r="70" spans="1:8" x14ac:dyDescent="0.25">
      <c r="A70" s="22">
        <v>6281</v>
      </c>
      <c r="B70" s="26" t="s">
        <v>87</v>
      </c>
      <c r="D70" s="426">
        <f>'Saisie comptes'!H56</f>
        <v>0</v>
      </c>
      <c r="E70" s="430">
        <f>'Détails construc budget prev'!F24</f>
        <v>10500</v>
      </c>
      <c r="F70" s="431">
        <f>'Détails construc budget prev'!I24</f>
        <v>9600</v>
      </c>
      <c r="G70" s="432">
        <f>'Détails construc budget prev'!L24</f>
        <v>0</v>
      </c>
      <c r="H70" s="141"/>
    </row>
    <row r="71" spans="1:8" x14ac:dyDescent="0.25">
      <c r="A71" s="22">
        <v>6896</v>
      </c>
      <c r="B71" s="26" t="s">
        <v>108</v>
      </c>
      <c r="D71" s="426">
        <f>'Saisie comptes'!H57</f>
        <v>0</v>
      </c>
      <c r="E71" s="430">
        <f>D27</f>
        <v>0</v>
      </c>
      <c r="F71" s="430">
        <f>E27</f>
        <v>3000</v>
      </c>
      <c r="G71" s="458">
        <f>F27</f>
        <v>0</v>
      </c>
      <c r="H71" s="141"/>
    </row>
    <row r="72" spans="1:8" x14ac:dyDescent="0.25">
      <c r="A72" s="22" t="s">
        <v>432</v>
      </c>
      <c r="B72" s="26" t="s">
        <v>27</v>
      </c>
      <c r="D72" s="426">
        <f>'Saisie comptes'!H58</f>
        <v>0</v>
      </c>
      <c r="E72" s="379"/>
      <c r="F72" s="380"/>
      <c r="G72" s="367"/>
      <c r="H72" s="1"/>
    </row>
    <row r="73" spans="1:8" x14ac:dyDescent="0.25">
      <c r="B73" s="32" t="s">
        <v>103</v>
      </c>
      <c r="D73" s="426">
        <f>'Saisie comptes'!H59</f>
        <v>0</v>
      </c>
      <c r="E73" s="379"/>
      <c r="F73" s="379"/>
      <c r="G73" s="459"/>
      <c r="H73" s="1"/>
    </row>
    <row r="74" spans="1:8" x14ac:dyDescent="0.25">
      <c r="A74" s="22">
        <v>75</v>
      </c>
      <c r="B74" s="33" t="s">
        <v>109</v>
      </c>
      <c r="D74" s="426">
        <f>'Saisie comptes'!H60</f>
        <v>0</v>
      </c>
      <c r="E74" s="379"/>
      <c r="F74" s="380"/>
      <c r="G74" s="367"/>
      <c r="H74" s="1"/>
    </row>
    <row r="75" spans="1:8" x14ac:dyDescent="0.25">
      <c r="B75" s="26" t="s">
        <v>130</v>
      </c>
      <c r="D75" s="422">
        <f>'Saisie comptes'!H61</f>
        <v>0</v>
      </c>
      <c r="E75" s="379"/>
      <c r="F75" s="380"/>
      <c r="G75" s="367"/>
    </row>
    <row r="76" spans="1:8" x14ac:dyDescent="0.25">
      <c r="B76" s="27" t="s">
        <v>28</v>
      </c>
      <c r="D76" s="422">
        <f>'Saisie comptes'!H62</f>
        <v>0</v>
      </c>
      <c r="E76" s="433">
        <f>E74+E72+E71+E70+E69+E68+E67+E75</f>
        <v>73088.638589618029</v>
      </c>
      <c r="F76" s="433">
        <f t="shared" ref="F76:G76" si="3">F74+F72+F71+F70+F69+F68+F67+F75</f>
        <v>89000</v>
      </c>
      <c r="G76" s="433">
        <f t="shared" si="3"/>
        <v>106500</v>
      </c>
      <c r="H76" s="1"/>
    </row>
    <row r="77" spans="1:8" x14ac:dyDescent="0.25">
      <c r="A77" s="22" t="s">
        <v>426</v>
      </c>
      <c r="B77" s="26" t="s">
        <v>106</v>
      </c>
      <c r="D77" s="426">
        <f>'Saisie comptes'!H63</f>
        <v>0</v>
      </c>
      <c r="E77" s="379"/>
      <c r="F77" s="380"/>
      <c r="G77" s="367"/>
      <c r="H77" s="1"/>
    </row>
    <row r="78" spans="1:8" x14ac:dyDescent="0.25">
      <c r="A78" s="22" t="s">
        <v>430</v>
      </c>
      <c r="B78" s="26" t="s">
        <v>29</v>
      </c>
      <c r="D78" s="426">
        <f>'Saisie comptes'!H64</f>
        <v>0</v>
      </c>
      <c r="E78" s="430">
        <f>D59</f>
        <v>8850</v>
      </c>
      <c r="F78" s="430">
        <f>E59</f>
        <v>9000</v>
      </c>
      <c r="G78" s="458">
        <f>F59</f>
        <v>9150</v>
      </c>
      <c r="H78" s="1"/>
    </row>
    <row r="79" spans="1:8" x14ac:dyDescent="0.25">
      <c r="A79" s="22">
        <v>63</v>
      </c>
      <c r="B79" s="26" t="s">
        <v>30</v>
      </c>
      <c r="D79" s="426">
        <f>'Saisie comptes'!H65</f>
        <v>0</v>
      </c>
      <c r="E79" s="379"/>
      <c r="F79" s="380"/>
      <c r="G79" s="367"/>
      <c r="H79" s="1"/>
    </row>
    <row r="80" spans="1:8" x14ac:dyDescent="0.25">
      <c r="A80" s="22">
        <v>641</v>
      </c>
      <c r="B80" s="26" t="s">
        <v>31</v>
      </c>
      <c r="D80" s="426">
        <f>'Saisie comptes'!H66</f>
        <v>0</v>
      </c>
      <c r="E80" s="379">
        <v>40000</v>
      </c>
      <c r="F80" s="380">
        <v>50000</v>
      </c>
      <c r="G80" s="367">
        <v>60000</v>
      </c>
      <c r="H80" s="1"/>
    </row>
    <row r="81" spans="1:8" x14ac:dyDescent="0.25">
      <c r="B81" s="32" t="s">
        <v>104</v>
      </c>
      <c r="D81" s="426">
        <f>'Saisie comptes'!H67</f>
        <v>0</v>
      </c>
      <c r="E81" s="379"/>
      <c r="F81" s="380"/>
      <c r="G81" s="367"/>
      <c r="H81" s="1"/>
    </row>
    <row r="82" spans="1:8" x14ac:dyDescent="0.25">
      <c r="B82" s="32" t="s">
        <v>105</v>
      </c>
      <c r="D82" s="426">
        <f>'Saisie comptes'!H68</f>
        <v>0</v>
      </c>
      <c r="E82" s="379"/>
      <c r="F82" s="380"/>
      <c r="G82" s="367"/>
      <c r="H82" s="1"/>
    </row>
    <row r="83" spans="1:8" x14ac:dyDescent="0.25">
      <c r="A83" s="22">
        <v>645</v>
      </c>
      <c r="B83" s="26" t="s">
        <v>249</v>
      </c>
      <c r="D83" s="426">
        <f>'Saisie comptes'!H69</f>
        <v>0</v>
      </c>
      <c r="E83" s="379"/>
      <c r="F83" s="380"/>
      <c r="G83" s="367"/>
      <c r="H83" s="1"/>
    </row>
    <row r="84" spans="1:8" x14ac:dyDescent="0.25">
      <c r="B84" s="32" t="s">
        <v>104</v>
      </c>
      <c r="D84" s="426">
        <f>'Saisie comptes'!H70</f>
        <v>0</v>
      </c>
      <c r="E84" s="379"/>
      <c r="F84" s="380"/>
      <c r="G84" s="367"/>
      <c r="H84" s="1"/>
    </row>
    <row r="85" spans="1:8" x14ac:dyDescent="0.25">
      <c r="B85" s="32" t="s">
        <v>105</v>
      </c>
      <c r="D85" s="426">
        <f>'Saisie comptes'!H71</f>
        <v>0</v>
      </c>
      <c r="E85" s="379"/>
      <c r="F85" s="380"/>
      <c r="G85" s="367"/>
      <c r="H85" s="1"/>
    </row>
    <row r="86" spans="1:8" x14ac:dyDescent="0.25">
      <c r="B86" s="26" t="s">
        <v>40</v>
      </c>
      <c r="D86" s="426">
        <f>'Saisie comptes'!H72</f>
        <v>0</v>
      </c>
      <c r="E86" s="379"/>
      <c r="F86" s="380"/>
      <c r="G86" s="367"/>
      <c r="H86" s="1"/>
    </row>
    <row r="87" spans="1:8" x14ac:dyDescent="0.25">
      <c r="A87" s="22">
        <v>68</v>
      </c>
      <c r="B87" s="26" t="s">
        <v>107</v>
      </c>
      <c r="D87" s="422">
        <f>'Saisie comptes'!H73</f>
        <v>0</v>
      </c>
      <c r="E87" s="433">
        <f>E88+E89+E90</f>
        <v>6166.6666666666661</v>
      </c>
      <c r="F87" s="434">
        <f t="shared" ref="F87:G87" si="4">F88+F89+F90</f>
        <v>7166.6666666666661</v>
      </c>
      <c r="G87" s="435">
        <f t="shared" si="4"/>
        <v>12306.666666666666</v>
      </c>
      <c r="H87" s="1"/>
    </row>
    <row r="88" spans="1:8" x14ac:dyDescent="0.25">
      <c r="B88" s="32" t="s">
        <v>240</v>
      </c>
      <c r="D88" s="426"/>
      <c r="E88" s="379"/>
      <c r="F88" s="380"/>
      <c r="G88" s="367"/>
      <c r="H88" s="1"/>
    </row>
    <row r="89" spans="1:8" x14ac:dyDescent="0.25">
      <c r="B89" s="32" t="s">
        <v>238</v>
      </c>
      <c r="D89" s="426"/>
      <c r="E89" s="430">
        <f>'Saisie plan de financement'!D22</f>
        <v>6166.6666666666661</v>
      </c>
      <c r="F89" s="430">
        <f>'Saisie plan de financement'!E22</f>
        <v>7166.6666666666661</v>
      </c>
      <c r="G89" s="458">
        <f>'Saisie plan de financement'!F22</f>
        <v>12306.666666666666</v>
      </c>
      <c r="H89" s="1"/>
    </row>
    <row r="90" spans="1:8" x14ac:dyDescent="0.25">
      <c r="B90" s="32" t="s">
        <v>239</v>
      </c>
      <c r="D90" s="426"/>
      <c r="E90" s="379"/>
      <c r="F90" s="380"/>
      <c r="G90" s="367"/>
      <c r="H90" s="1"/>
    </row>
    <row r="91" spans="1:8" x14ac:dyDescent="0.25">
      <c r="B91" s="26" t="s">
        <v>131</v>
      </c>
      <c r="D91" s="422">
        <f>'Saisie comptes'!H76</f>
        <v>0</v>
      </c>
      <c r="E91" s="379"/>
      <c r="F91" s="380"/>
      <c r="G91" s="367"/>
    </row>
    <row r="92" spans="1:8" x14ac:dyDescent="0.25">
      <c r="B92" s="27" t="s">
        <v>33</v>
      </c>
      <c r="D92" s="422">
        <f>'Saisie comptes'!H77</f>
        <v>0</v>
      </c>
      <c r="E92" s="433">
        <f>E87+E86+E83+E80+E79+E78+E77+E91</f>
        <v>55016.666666666664</v>
      </c>
      <c r="F92" s="433">
        <f t="shared" ref="F92:G92" si="5">F87+F86+F83+F80+F79+F78+F77+F91</f>
        <v>66166.666666666657</v>
      </c>
      <c r="G92" s="433">
        <f t="shared" si="5"/>
        <v>81456.666666666672</v>
      </c>
      <c r="H92" s="1"/>
    </row>
    <row r="93" spans="1:8" ht="13" thickBot="1" x14ac:dyDescent="0.3">
      <c r="B93" s="13" t="s">
        <v>34</v>
      </c>
      <c r="D93" s="423">
        <f>'Saisie comptes'!H78</f>
        <v>0</v>
      </c>
      <c r="E93" s="436">
        <f>E76-E92</f>
        <v>18071.971922951365</v>
      </c>
      <c r="F93" s="437">
        <f>F76-F92</f>
        <v>22833.333333333343</v>
      </c>
      <c r="G93" s="438">
        <f>G76-G92</f>
        <v>25043.333333333328</v>
      </c>
      <c r="H93" s="1"/>
    </row>
    <row r="94" spans="1:8" ht="13" thickBot="1" x14ac:dyDescent="0.3">
      <c r="D94" s="10"/>
      <c r="E94" s="10"/>
      <c r="F94" s="10"/>
      <c r="G94" s="10"/>
      <c r="H94" s="1"/>
    </row>
    <row r="95" spans="1:8" ht="13" thickBot="1" x14ac:dyDescent="0.3">
      <c r="B95" s="3" t="s">
        <v>126</v>
      </c>
      <c r="D95" s="161">
        <f>D65</f>
        <v>2022</v>
      </c>
      <c r="E95" s="162">
        <f>E65</f>
        <v>2023</v>
      </c>
      <c r="F95" s="162">
        <f>F65</f>
        <v>2024</v>
      </c>
      <c r="G95" s="163">
        <f>G65</f>
        <v>2025</v>
      </c>
      <c r="H95" s="1"/>
    </row>
    <row r="96" spans="1:8" ht="13" thickBot="1" x14ac:dyDescent="0.3">
      <c r="D96" s="10"/>
      <c r="E96" s="164"/>
      <c r="F96" s="165"/>
      <c r="G96" s="165"/>
      <c r="H96" s="1"/>
    </row>
    <row r="97" spans="1:8" x14ac:dyDescent="0.25">
      <c r="A97" s="22">
        <v>761</v>
      </c>
      <c r="B97" s="25" t="s">
        <v>110</v>
      </c>
      <c r="D97" s="418">
        <f>'Saisie comptes'!H82</f>
        <v>0</v>
      </c>
      <c r="E97" s="377"/>
      <c r="F97" s="378"/>
      <c r="G97" s="364"/>
      <c r="H97" s="1"/>
    </row>
    <row r="98" spans="1:8" x14ac:dyDescent="0.25">
      <c r="A98" s="22">
        <v>781</v>
      </c>
      <c r="B98" s="32" t="s">
        <v>116</v>
      </c>
      <c r="D98" s="419">
        <f>'Saisie comptes'!H83</f>
        <v>0</v>
      </c>
      <c r="E98" s="379"/>
      <c r="F98" s="380"/>
      <c r="G98" s="367"/>
      <c r="H98" s="1"/>
    </row>
    <row r="99" spans="1:8" x14ac:dyDescent="0.25">
      <c r="A99" s="22">
        <v>661</v>
      </c>
      <c r="B99" s="26" t="s">
        <v>111</v>
      </c>
      <c r="D99" s="419">
        <f>'Saisie comptes'!H84</f>
        <v>0</v>
      </c>
      <c r="E99" s="379"/>
      <c r="F99" s="380"/>
      <c r="G99" s="367"/>
      <c r="H99" s="1"/>
    </row>
    <row r="100" spans="1:8" x14ac:dyDescent="0.25">
      <c r="A100" s="22">
        <v>686</v>
      </c>
      <c r="B100" s="32" t="s">
        <v>117</v>
      </c>
      <c r="D100" s="419">
        <f>'Saisie comptes'!H85</f>
        <v>0</v>
      </c>
      <c r="E100" s="379"/>
      <c r="F100" s="380"/>
      <c r="G100" s="367"/>
      <c r="H100" s="1"/>
    </row>
    <row r="101" spans="1:8" x14ac:dyDescent="0.25">
      <c r="B101" s="27" t="s">
        <v>35</v>
      </c>
      <c r="D101" s="422">
        <f>'Saisie comptes'!H86</f>
        <v>0</v>
      </c>
      <c r="E101" s="433">
        <f>E97-E99</f>
        <v>0</v>
      </c>
      <c r="F101" s="434">
        <f t="shared" ref="F101:G101" si="6">F97-F99</f>
        <v>0</v>
      </c>
      <c r="G101" s="435">
        <f t="shared" si="6"/>
        <v>0</v>
      </c>
      <c r="H101" s="1"/>
    </row>
    <row r="102" spans="1:8" x14ac:dyDescent="0.25">
      <c r="A102" s="22">
        <v>771</v>
      </c>
      <c r="B102" s="26" t="s">
        <v>112</v>
      </c>
      <c r="D102" s="419">
        <f>'Saisie comptes'!H87</f>
        <v>0</v>
      </c>
      <c r="E102" s="379"/>
      <c r="F102" s="380"/>
      <c r="G102" s="367"/>
      <c r="H102" s="1"/>
    </row>
    <row r="103" spans="1:8" x14ac:dyDescent="0.25">
      <c r="A103" s="22">
        <v>781</v>
      </c>
      <c r="B103" s="32" t="s">
        <v>121</v>
      </c>
      <c r="D103" s="419">
        <f>'Saisie comptes'!H88</f>
        <v>0</v>
      </c>
      <c r="E103" s="379"/>
      <c r="F103" s="380"/>
      <c r="G103" s="367"/>
      <c r="H103" s="1"/>
    </row>
    <row r="104" spans="1:8" x14ac:dyDescent="0.25">
      <c r="A104" s="22">
        <v>775</v>
      </c>
      <c r="B104" s="32" t="s">
        <v>119</v>
      </c>
      <c r="D104" s="419">
        <f>'Saisie comptes'!H89</f>
        <v>0</v>
      </c>
      <c r="E104" s="379"/>
      <c r="F104" s="380"/>
      <c r="G104" s="367"/>
      <c r="H104" s="1"/>
    </row>
    <row r="105" spans="1:8" x14ac:dyDescent="0.25">
      <c r="A105" s="22">
        <v>777</v>
      </c>
      <c r="B105" s="32" t="s">
        <v>120</v>
      </c>
      <c r="D105" s="419">
        <f>'Saisie comptes'!H90</f>
        <v>0</v>
      </c>
      <c r="E105" s="379"/>
      <c r="F105" s="380"/>
      <c r="G105" s="367"/>
      <c r="H105" s="1"/>
    </row>
    <row r="106" spans="1:8" x14ac:dyDescent="0.25">
      <c r="A106" s="22">
        <v>7715</v>
      </c>
      <c r="B106" s="32" t="s">
        <v>123</v>
      </c>
      <c r="D106" s="419">
        <f>'Saisie comptes'!H91</f>
        <v>0</v>
      </c>
      <c r="E106" s="379"/>
      <c r="F106" s="380"/>
      <c r="G106" s="367"/>
      <c r="H106" s="1"/>
    </row>
    <row r="107" spans="1:8" x14ac:dyDescent="0.25">
      <c r="A107" s="22">
        <v>67</v>
      </c>
      <c r="B107" s="26" t="s">
        <v>113</v>
      </c>
      <c r="D107" s="419">
        <f>'Saisie comptes'!H92</f>
        <v>0</v>
      </c>
      <c r="E107" s="379"/>
      <c r="F107" s="380"/>
      <c r="G107" s="367"/>
      <c r="H107" s="1"/>
    </row>
    <row r="108" spans="1:8" x14ac:dyDescent="0.25">
      <c r="A108" s="22">
        <v>6875</v>
      </c>
      <c r="B108" s="32" t="s">
        <v>122</v>
      </c>
      <c r="C108" s="56"/>
      <c r="D108" s="419">
        <f>'Saisie comptes'!H93</f>
        <v>0</v>
      </c>
      <c r="E108" s="379"/>
      <c r="F108" s="380"/>
      <c r="G108" s="367"/>
      <c r="H108" s="56"/>
    </row>
    <row r="109" spans="1:8" x14ac:dyDescent="0.25">
      <c r="A109" s="22">
        <v>675</v>
      </c>
      <c r="B109" s="32" t="s">
        <v>118</v>
      </c>
      <c r="C109" s="56"/>
      <c r="D109" s="419">
        <f>'Saisie comptes'!H94</f>
        <v>0</v>
      </c>
      <c r="E109" s="379"/>
      <c r="F109" s="380"/>
      <c r="G109" s="367"/>
      <c r="H109" s="56"/>
    </row>
    <row r="110" spans="1:8" ht="13" thickBot="1" x14ac:dyDescent="0.3">
      <c r="B110" s="31" t="s">
        <v>36</v>
      </c>
      <c r="C110" s="56"/>
      <c r="D110" s="420">
        <f>'Saisie comptes'!H95</f>
        <v>0</v>
      </c>
      <c r="E110" s="439">
        <f>E102-E107</f>
        <v>0</v>
      </c>
      <c r="F110" s="440">
        <f>F102-F107</f>
        <v>0</v>
      </c>
      <c r="G110" s="441">
        <f>G102-G107</f>
        <v>0</v>
      </c>
      <c r="H110" s="56"/>
    </row>
    <row r="111" spans="1:8" ht="13" thickBot="1" x14ac:dyDescent="0.3">
      <c r="B111" s="2"/>
      <c r="D111" s="168">
        <f>'Saisie comptes'!H96</f>
        <v>0</v>
      </c>
      <c r="E111" s="67"/>
      <c r="F111" s="67"/>
      <c r="G111" s="67"/>
    </row>
    <row r="112" spans="1:8" ht="13" thickBot="1" x14ac:dyDescent="0.3">
      <c r="B112" s="3" t="s">
        <v>124</v>
      </c>
      <c r="D112" s="281">
        <f>D95</f>
        <v>2022</v>
      </c>
      <c r="E112" s="282">
        <f t="shared" ref="E112:G112" si="7">E95</f>
        <v>2023</v>
      </c>
      <c r="F112" s="282">
        <f t="shared" si="7"/>
        <v>2024</v>
      </c>
      <c r="G112" s="283">
        <f t="shared" si="7"/>
        <v>2025</v>
      </c>
    </row>
    <row r="113" spans="1:9" ht="13" thickBot="1" x14ac:dyDescent="0.3">
      <c r="B113" s="2"/>
      <c r="D113" s="168">
        <f>'Saisie comptes'!H98</f>
        <v>0</v>
      </c>
      <c r="E113" s="67"/>
      <c r="F113" s="67"/>
      <c r="G113" s="67"/>
    </row>
    <row r="114" spans="1:9" x14ac:dyDescent="0.25">
      <c r="B114" s="25" t="s">
        <v>129</v>
      </c>
      <c r="D114" s="421">
        <f>'Saisie comptes'!H99</f>
        <v>0</v>
      </c>
      <c r="E114" s="377"/>
      <c r="F114" s="378"/>
      <c r="G114" s="364"/>
    </row>
    <row r="115" spans="1:9" x14ac:dyDescent="0.25">
      <c r="A115" s="22">
        <v>695</v>
      </c>
      <c r="B115" s="26" t="s">
        <v>114</v>
      </c>
      <c r="D115" s="422">
        <f>'Saisie comptes'!H100</f>
        <v>0</v>
      </c>
      <c r="E115" s="379"/>
      <c r="F115" s="380"/>
      <c r="G115" s="367"/>
    </row>
    <row r="116" spans="1:9" ht="13" thickBot="1" x14ac:dyDescent="0.3">
      <c r="B116" s="31" t="s">
        <v>37</v>
      </c>
      <c r="D116" s="423">
        <f>'Saisie comptes'!H101</f>
        <v>0</v>
      </c>
      <c r="E116" s="442">
        <f>E93+E110+E101-E114-E115+E75-E91</f>
        <v>18071.971922951365</v>
      </c>
      <c r="F116" s="443">
        <f>F93+F110+F101-F114-F115+F75-F91</f>
        <v>22833.333333333343</v>
      </c>
      <c r="G116" s="444">
        <f>G93+G110+G101-G114-G115+G75-G91</f>
        <v>25043.333333333328</v>
      </c>
    </row>
    <row r="117" spans="1:9" ht="13" thickBot="1" x14ac:dyDescent="0.3"/>
    <row r="118" spans="1:9" ht="13" thickBot="1" x14ac:dyDescent="0.3">
      <c r="B118" s="146" t="s">
        <v>275</v>
      </c>
      <c r="D118" s="269">
        <f>'Saisie comptes'!H103</f>
        <v>0</v>
      </c>
      <c r="E118" s="270">
        <f>E116+E108+E100+E87-E73-E98-E103-E105+E109-E104+E91-E75</f>
        <v>24238.638589618029</v>
      </c>
      <c r="F118" s="270">
        <f>F116+F108+F100+F87-F73-F98-F103-F105+F109-F104+F91-F75</f>
        <v>30000.000000000007</v>
      </c>
      <c r="G118" s="271">
        <f>G116+G108+G100+G87-G73-G98-G103-G105+G109-G104+G91-G75</f>
        <v>37349.999999999993</v>
      </c>
    </row>
    <row r="123" spans="1:9" x14ac:dyDescent="0.25">
      <c r="C123" s="56"/>
      <c r="D123" s="56"/>
      <c r="E123" s="56"/>
      <c r="F123" s="56"/>
      <c r="G123" s="56"/>
      <c r="H123" s="56"/>
      <c r="I123" s="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DDF7C-B5AC-4E9E-B1C1-107318C1BBAD}">
  <dimension ref="A3:L36"/>
  <sheetViews>
    <sheetView topLeftCell="B22" workbookViewId="0">
      <selection activeCell="O35" sqref="O35"/>
    </sheetView>
  </sheetViews>
  <sheetFormatPr baseColWidth="10" defaultRowHeight="14.5" x14ac:dyDescent="0.35"/>
  <cols>
    <col min="2" max="2" width="41.08984375" customWidth="1"/>
    <col min="3" max="3" width="3.36328125" customWidth="1"/>
    <col min="5" max="5" width="17" customWidth="1"/>
    <col min="6" max="6" width="14.08984375" customWidth="1"/>
    <col min="7" max="7" width="14.453125" customWidth="1"/>
    <col min="8" max="8" width="15.54296875" customWidth="1"/>
    <col min="9" max="9" width="16.54296875" customWidth="1"/>
    <col min="10" max="10" width="14.6328125" customWidth="1"/>
    <col min="11" max="11" width="14.81640625" customWidth="1"/>
    <col min="12" max="12" width="13.81640625" customWidth="1"/>
  </cols>
  <sheetData>
    <row r="3" spans="1:12" s="22" customFormat="1" ht="12.5" x14ac:dyDescent="0.25">
      <c r="B3" s="49" t="s">
        <v>341</v>
      </c>
      <c r="C3" s="53"/>
      <c r="D3" s="53"/>
      <c r="E3" s="53"/>
      <c r="F3" s="53"/>
      <c r="G3" s="53"/>
    </row>
    <row r="4" spans="1:12" s="22" customFormat="1" ht="12.5" x14ac:dyDescent="0.25"/>
    <row r="5" spans="1:12" s="22" customFormat="1" ht="13" thickBot="1" x14ac:dyDescent="0.3"/>
    <row r="6" spans="1:12" s="22" customFormat="1" ht="32" customHeight="1" thickBot="1" x14ac:dyDescent="0.3">
      <c r="B6" s="156" t="s">
        <v>416</v>
      </c>
      <c r="D6" s="793">
        <f>'Saisie budget prévisionnel'!E65</f>
        <v>2023</v>
      </c>
      <c r="E6" s="794"/>
      <c r="F6" s="795"/>
      <c r="G6" s="793">
        <f>'Saisie budget prévisionnel'!F65</f>
        <v>2024</v>
      </c>
      <c r="H6" s="794"/>
      <c r="I6" s="795"/>
      <c r="J6" s="793">
        <f>'Saisie budget prévisionnel'!G65</f>
        <v>2025</v>
      </c>
      <c r="K6" s="794"/>
      <c r="L6" s="795"/>
    </row>
    <row r="7" spans="1:12" s="22" customFormat="1" ht="15" customHeight="1" thickBot="1" x14ac:dyDescent="0.3">
      <c r="B7" s="184"/>
      <c r="D7" s="142"/>
      <c r="E7" s="142"/>
      <c r="F7" s="142"/>
      <c r="G7" s="142"/>
      <c r="H7" s="142"/>
      <c r="I7" s="142"/>
      <c r="J7" s="142"/>
      <c r="K7" s="142"/>
      <c r="L7" s="142"/>
    </row>
    <row r="8" spans="1:12" s="22" customFormat="1" ht="38" thickBot="1" x14ac:dyDescent="0.3">
      <c r="A8" s="67" t="s">
        <v>348</v>
      </c>
      <c r="D8" s="143" t="s">
        <v>258</v>
      </c>
      <c r="E8" s="144" t="s">
        <v>273</v>
      </c>
      <c r="F8" s="145" t="s">
        <v>233</v>
      </c>
      <c r="G8" s="143" t="s">
        <v>258</v>
      </c>
      <c r="H8" s="144" t="s">
        <v>273</v>
      </c>
      <c r="I8" s="145" t="s">
        <v>233</v>
      </c>
      <c r="J8" s="143" t="s">
        <v>258</v>
      </c>
      <c r="K8" s="144" t="s">
        <v>273</v>
      </c>
      <c r="L8" s="145" t="s">
        <v>233</v>
      </c>
    </row>
    <row r="9" spans="1:12" s="22" customFormat="1" ht="12.5" x14ac:dyDescent="0.25">
      <c r="A9" s="762">
        <v>5.5E-2</v>
      </c>
      <c r="B9" s="59" t="s">
        <v>417</v>
      </c>
      <c r="D9" s="379">
        <v>10</v>
      </c>
      <c r="E9" s="380">
        <v>500</v>
      </c>
      <c r="F9" s="414">
        <f>D9*E9</f>
        <v>5000</v>
      </c>
      <c r="G9" s="379">
        <v>12</v>
      </c>
      <c r="H9" s="380">
        <v>700</v>
      </c>
      <c r="I9" s="414">
        <f>G9*H9</f>
        <v>8400</v>
      </c>
      <c r="J9" s="379">
        <v>10</v>
      </c>
      <c r="K9" s="380">
        <v>500</v>
      </c>
      <c r="L9" s="414">
        <f>J9*K9</f>
        <v>5000</v>
      </c>
    </row>
    <row r="10" spans="1:12" s="22" customFormat="1" ht="12.5" x14ac:dyDescent="0.25">
      <c r="A10" s="763">
        <v>0.2</v>
      </c>
      <c r="B10" s="87" t="s">
        <v>444</v>
      </c>
      <c r="D10" s="379"/>
      <c r="E10" s="380"/>
      <c r="F10" s="414"/>
      <c r="G10" s="379"/>
      <c r="H10" s="380"/>
      <c r="I10" s="414"/>
      <c r="J10" s="379"/>
      <c r="K10" s="380"/>
      <c r="L10" s="414"/>
    </row>
    <row r="11" spans="1:12" s="22" customFormat="1" ht="12.5" x14ac:dyDescent="0.25">
      <c r="A11" s="67"/>
      <c r="B11" s="87"/>
      <c r="D11" s="379"/>
      <c r="E11" s="380"/>
      <c r="F11" s="414"/>
      <c r="G11" s="379"/>
      <c r="H11" s="380"/>
      <c r="I11" s="414"/>
      <c r="J11" s="379"/>
      <c r="K11" s="380"/>
      <c r="L11" s="414"/>
    </row>
    <row r="12" spans="1:12" s="22" customFormat="1" ht="12.5" x14ac:dyDescent="0.25">
      <c r="A12" s="762">
        <v>5.5E-2</v>
      </c>
      <c r="B12" s="33" t="s">
        <v>441</v>
      </c>
      <c r="D12" s="379">
        <v>200</v>
      </c>
      <c r="E12" s="380">
        <v>150</v>
      </c>
      <c r="F12" s="415">
        <f t="shared" ref="F12:F19" si="0">D12*E12</f>
        <v>30000</v>
      </c>
      <c r="G12" s="379">
        <v>220</v>
      </c>
      <c r="H12" s="380">
        <v>150</v>
      </c>
      <c r="I12" s="415">
        <f>G12*H12</f>
        <v>33000</v>
      </c>
      <c r="J12" s="379">
        <v>500</v>
      </c>
      <c r="K12" s="380">
        <v>175</v>
      </c>
      <c r="L12" s="415">
        <f>J12*K12</f>
        <v>87500</v>
      </c>
    </row>
    <row r="13" spans="1:12" s="22" customFormat="1" ht="12.5" x14ac:dyDescent="0.25">
      <c r="A13" s="762">
        <v>5.5E-2</v>
      </c>
      <c r="B13" s="33" t="s">
        <v>84</v>
      </c>
      <c r="D13" s="379">
        <v>1500</v>
      </c>
      <c r="E13" s="380">
        <v>1</v>
      </c>
      <c r="F13" s="415">
        <f t="shared" si="0"/>
        <v>1500</v>
      </c>
      <c r="G13" s="379">
        <v>1500</v>
      </c>
      <c r="H13" s="380">
        <v>2</v>
      </c>
      <c r="I13" s="415">
        <f>G13*H13</f>
        <v>3000</v>
      </c>
      <c r="J13" s="379">
        <v>1500</v>
      </c>
      <c r="K13" s="380">
        <v>2</v>
      </c>
      <c r="L13" s="415">
        <f>J13*K13</f>
        <v>3000</v>
      </c>
    </row>
    <row r="14" spans="1:12" s="22" customFormat="1" ht="12.5" x14ac:dyDescent="0.25">
      <c r="A14" s="763">
        <v>0</v>
      </c>
      <c r="B14" s="33" t="s">
        <v>94</v>
      </c>
      <c r="D14" s="379"/>
      <c r="E14" s="380"/>
      <c r="F14" s="415">
        <f t="shared" si="0"/>
        <v>0</v>
      </c>
      <c r="G14" s="379"/>
      <c r="H14" s="380"/>
      <c r="I14" s="415">
        <f>G14*H14</f>
        <v>0</v>
      </c>
      <c r="J14" s="379"/>
      <c r="K14" s="380"/>
      <c r="L14" s="415">
        <f>J14*K14</f>
        <v>0</v>
      </c>
    </row>
    <row r="15" spans="1:12" s="22" customFormat="1" ht="12.5" x14ac:dyDescent="0.25">
      <c r="A15" s="762">
        <v>5.5E-2</v>
      </c>
      <c r="B15" s="33" t="s">
        <v>95</v>
      </c>
      <c r="D15" s="379"/>
      <c r="E15" s="380"/>
      <c r="F15" s="415">
        <f t="shared" si="0"/>
        <v>0</v>
      </c>
      <c r="G15" s="379"/>
      <c r="H15" s="380"/>
      <c r="I15" s="415">
        <f>G15*H15</f>
        <v>0</v>
      </c>
      <c r="J15" s="379"/>
      <c r="K15" s="380"/>
      <c r="L15" s="415">
        <f>J15*K15</f>
        <v>0</v>
      </c>
    </row>
    <row r="16" spans="1:12" s="22" customFormat="1" ht="12.5" x14ac:dyDescent="0.25">
      <c r="A16" s="762">
        <v>2.1000000000000001E-2</v>
      </c>
      <c r="B16" s="33" t="s">
        <v>442</v>
      </c>
      <c r="D16" s="379">
        <v>2000</v>
      </c>
      <c r="E16" s="709">
        <f>10/1.021</f>
        <v>9.7943192948090125</v>
      </c>
      <c r="F16" s="415">
        <f t="shared" si="0"/>
        <v>19588.638589618025</v>
      </c>
      <c r="G16" s="379"/>
      <c r="H16" s="380"/>
      <c r="I16" s="415"/>
      <c r="J16" s="379"/>
      <c r="K16" s="380"/>
      <c r="L16" s="415"/>
    </row>
    <row r="17" spans="1:12" s="22" customFormat="1" ht="12.5" x14ac:dyDescent="0.25">
      <c r="A17" s="762">
        <v>5.5E-2</v>
      </c>
      <c r="B17" s="33" t="s">
        <v>442</v>
      </c>
      <c r="D17" s="379"/>
      <c r="E17" s="709"/>
      <c r="F17" s="415"/>
      <c r="G17" s="379"/>
      <c r="H17" s="380"/>
      <c r="I17" s="415"/>
      <c r="J17" s="379"/>
      <c r="K17" s="380"/>
      <c r="L17" s="415"/>
    </row>
    <row r="18" spans="1:12" s="22" customFormat="1" ht="12.5" x14ac:dyDescent="0.25">
      <c r="A18" s="762">
        <v>5.5E-2</v>
      </c>
      <c r="B18" s="33" t="s">
        <v>443</v>
      </c>
      <c r="D18" s="379">
        <v>1000</v>
      </c>
      <c r="E18" s="380">
        <v>5</v>
      </c>
      <c r="F18" s="415">
        <f t="shared" si="0"/>
        <v>5000</v>
      </c>
      <c r="G18" s="379"/>
      <c r="H18" s="380"/>
      <c r="I18" s="415">
        <f>G18*H18</f>
        <v>0</v>
      </c>
      <c r="J18" s="379"/>
      <c r="K18" s="380"/>
      <c r="L18" s="415">
        <f>J18*K18</f>
        <v>0</v>
      </c>
    </row>
    <row r="19" spans="1:12" s="22" customFormat="1" ht="13" thickBot="1" x14ac:dyDescent="0.3">
      <c r="A19" s="67"/>
      <c r="B19" s="60" t="s">
        <v>155</v>
      </c>
      <c r="D19" s="379"/>
      <c r="E19" s="380"/>
      <c r="F19" s="416">
        <f t="shared" si="0"/>
        <v>0</v>
      </c>
      <c r="G19" s="379"/>
      <c r="H19" s="380"/>
      <c r="I19" s="416">
        <f>G19*H19</f>
        <v>0</v>
      </c>
      <c r="J19" s="379"/>
      <c r="K19" s="380"/>
      <c r="L19" s="416">
        <f>J19*K19</f>
        <v>0</v>
      </c>
    </row>
    <row r="20" spans="1:12" s="22" customFormat="1" ht="13" thickBot="1" x14ac:dyDescent="0.3">
      <c r="B20" s="146" t="s">
        <v>237</v>
      </c>
      <c r="D20" s="207"/>
      <c r="E20" s="208"/>
      <c r="F20" s="417">
        <f>SUM(F9:F19)</f>
        <v>61088.638589618029</v>
      </c>
      <c r="G20" s="208"/>
      <c r="H20" s="208"/>
      <c r="I20" s="417">
        <f>SUM(I9:I19)</f>
        <v>44400</v>
      </c>
      <c r="J20" s="208"/>
      <c r="K20" s="208"/>
      <c r="L20" s="417">
        <f>SUM(L9:L19)</f>
        <v>95500</v>
      </c>
    </row>
    <row r="21" spans="1:12" s="22" customFormat="1" ht="13" thickBot="1" x14ac:dyDescent="0.3"/>
    <row r="22" spans="1:12" s="22" customFormat="1" ht="50.5" thickBot="1" x14ac:dyDescent="0.3">
      <c r="B22" s="184"/>
      <c r="D22" s="455" t="s">
        <v>334</v>
      </c>
      <c r="E22" s="456" t="s">
        <v>335</v>
      </c>
      <c r="F22" s="457" t="s">
        <v>337</v>
      </c>
      <c r="G22" s="455" t="s">
        <v>334</v>
      </c>
      <c r="H22" s="456" t="s">
        <v>335</v>
      </c>
      <c r="I22" s="457" t="s">
        <v>337</v>
      </c>
      <c r="J22" s="455" t="s">
        <v>334</v>
      </c>
      <c r="K22" s="456" t="s">
        <v>335</v>
      </c>
      <c r="L22" s="457" t="s">
        <v>337</v>
      </c>
    </row>
    <row r="23" spans="1:12" s="22" customFormat="1" ht="13" thickBot="1" x14ac:dyDescent="0.3">
      <c r="B23" s="448"/>
    </row>
    <row r="24" spans="1:12" s="22" customFormat="1" ht="13" thickBot="1" x14ac:dyDescent="0.3">
      <c r="B24" s="335" t="s">
        <v>336</v>
      </c>
      <c r="D24" s="460">
        <v>15</v>
      </c>
      <c r="E24" s="461">
        <v>700</v>
      </c>
      <c r="F24" s="449">
        <f>D24*E24</f>
        <v>10500</v>
      </c>
      <c r="G24" s="460">
        <v>12</v>
      </c>
      <c r="H24" s="461">
        <v>800</v>
      </c>
      <c r="I24" s="449">
        <f>G24*H24</f>
        <v>9600</v>
      </c>
      <c r="J24" s="460"/>
      <c r="K24" s="461"/>
      <c r="L24" s="449">
        <f>J24*K24</f>
        <v>0</v>
      </c>
    </row>
    <row r="28" spans="1:12" x14ac:dyDescent="0.35">
      <c r="B28" s="796" t="s">
        <v>459</v>
      </c>
      <c r="C28" s="797"/>
      <c r="D28" s="797"/>
      <c r="E28" s="797"/>
      <c r="F28" s="797"/>
      <c r="G28" s="797"/>
      <c r="H28" s="797"/>
      <c r="I28" s="797"/>
      <c r="J28" s="797"/>
      <c r="K28" s="797"/>
      <c r="L28" s="798"/>
    </row>
    <row r="29" spans="1:12" ht="33.65" customHeight="1" x14ac:dyDescent="0.35">
      <c r="B29" s="770" t="s">
        <v>460</v>
      </c>
      <c r="C29" s="771"/>
      <c r="D29" s="771" t="s">
        <v>461</v>
      </c>
      <c r="E29" s="771" t="s">
        <v>462</v>
      </c>
      <c r="F29" s="771" t="s">
        <v>470</v>
      </c>
      <c r="G29" s="772" t="s">
        <v>420</v>
      </c>
      <c r="H29" s="772" t="s">
        <v>463</v>
      </c>
      <c r="I29" s="772" t="s">
        <v>467</v>
      </c>
      <c r="J29" s="772" t="s">
        <v>464</v>
      </c>
      <c r="K29" s="776" t="s">
        <v>468</v>
      </c>
      <c r="L29" s="776" t="s">
        <v>469</v>
      </c>
    </row>
    <row r="30" spans="1:12" x14ac:dyDescent="0.35">
      <c r="B30" s="775" t="s">
        <v>471</v>
      </c>
      <c r="C30" s="773"/>
      <c r="D30" s="773" t="s">
        <v>465</v>
      </c>
      <c r="E30" s="773" t="s">
        <v>466</v>
      </c>
      <c r="F30" s="773">
        <v>12</v>
      </c>
      <c r="G30" s="774">
        <v>2684.06</v>
      </c>
      <c r="H30" s="774">
        <v>1300</v>
      </c>
      <c r="I30" s="774">
        <v>45</v>
      </c>
      <c r="J30" s="774">
        <v>103.5</v>
      </c>
      <c r="K30" s="774">
        <f>G30+H30+I30+J30</f>
        <v>4132.5599999999995</v>
      </c>
      <c r="L30" s="774">
        <f>F30*K30</f>
        <v>49590.719999999994</v>
      </c>
    </row>
    <row r="31" spans="1:12" x14ac:dyDescent="0.35">
      <c r="B31" s="775"/>
      <c r="C31" s="773"/>
      <c r="D31" s="773"/>
      <c r="E31" s="773"/>
      <c r="F31" s="773"/>
      <c r="G31" s="774"/>
      <c r="H31" s="774"/>
      <c r="I31" s="774"/>
      <c r="J31" s="774"/>
      <c r="K31" s="774">
        <f t="shared" ref="K31:K35" si="1">G31+H31+I31+J31</f>
        <v>0</v>
      </c>
      <c r="L31" s="774">
        <f t="shared" ref="L31:L35" si="2">F31*K31</f>
        <v>0</v>
      </c>
    </row>
    <row r="32" spans="1:12" x14ac:dyDescent="0.35">
      <c r="B32" s="775"/>
      <c r="C32" s="773"/>
      <c r="D32" s="773"/>
      <c r="E32" s="773"/>
      <c r="F32" s="773"/>
      <c r="G32" s="774"/>
      <c r="H32" s="774"/>
      <c r="I32" s="774"/>
      <c r="J32" s="774"/>
      <c r="K32" s="774">
        <f t="shared" si="1"/>
        <v>0</v>
      </c>
      <c r="L32" s="774">
        <f t="shared" si="2"/>
        <v>0</v>
      </c>
    </row>
    <row r="33" spans="2:12" x14ac:dyDescent="0.35">
      <c r="B33" s="775"/>
      <c r="C33" s="773"/>
      <c r="D33" s="773"/>
      <c r="E33" s="773"/>
      <c r="F33" s="773"/>
      <c r="G33" s="774"/>
      <c r="H33" s="774"/>
      <c r="I33" s="774"/>
      <c r="J33" s="774"/>
      <c r="K33" s="774">
        <f t="shared" si="1"/>
        <v>0</v>
      </c>
      <c r="L33" s="774">
        <f t="shared" si="2"/>
        <v>0</v>
      </c>
    </row>
    <row r="34" spans="2:12" x14ac:dyDescent="0.35">
      <c r="B34" s="775"/>
      <c r="C34" s="773"/>
      <c r="D34" s="773"/>
      <c r="E34" s="773"/>
      <c r="F34" s="773"/>
      <c r="G34" s="774"/>
      <c r="H34" s="774"/>
      <c r="I34" s="774"/>
      <c r="J34" s="774"/>
      <c r="K34" s="774">
        <f t="shared" si="1"/>
        <v>0</v>
      </c>
      <c r="L34" s="774">
        <f t="shared" si="2"/>
        <v>0</v>
      </c>
    </row>
    <row r="35" spans="2:12" ht="15" thickBot="1" x14ac:dyDescent="0.4">
      <c r="B35" s="775"/>
      <c r="C35" s="773"/>
      <c r="D35" s="773"/>
      <c r="E35" s="773"/>
      <c r="F35" s="773"/>
      <c r="G35" s="774"/>
      <c r="H35" s="774"/>
      <c r="I35" s="774"/>
      <c r="J35" s="774"/>
      <c r="K35" s="774">
        <f t="shared" si="1"/>
        <v>0</v>
      </c>
      <c r="L35" s="774">
        <f t="shared" si="2"/>
        <v>0</v>
      </c>
    </row>
    <row r="36" spans="2:12" ht="15" thickBot="1" x14ac:dyDescent="0.4">
      <c r="B36" s="146" t="s">
        <v>237</v>
      </c>
      <c r="C36" s="22"/>
      <c r="D36" s="207"/>
      <c r="E36" s="208"/>
      <c r="F36" s="208"/>
      <c r="G36" s="208"/>
      <c r="H36" s="208"/>
      <c r="I36" s="208"/>
      <c r="J36" s="208"/>
      <c r="K36" s="208"/>
      <c r="L36" s="417">
        <f>SUM(L30:L35)</f>
        <v>49590.719999999994</v>
      </c>
    </row>
  </sheetData>
  <mergeCells count="4">
    <mergeCell ref="D6:F6"/>
    <mergeCell ref="G6:I6"/>
    <mergeCell ref="J6:L6"/>
    <mergeCell ref="B28:L28"/>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32646B65-E402-412D-9CF2-B9B6CEFD7EE8}">
            <xm:f>IF('Données Générales'!$D$7="Non fiscalisée",TRUE,FALSE)</xm:f>
            <x14:dxf>
              <font>
                <color theme="7" tint="-0.24994659260841701"/>
              </font>
              <fill>
                <patternFill>
                  <bgColor theme="7" tint="-0.24994659260841701"/>
                </patternFill>
              </fill>
            </x14:dxf>
          </x14:cfRule>
          <xm:sqref>A9:A18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80"/>
  <sheetViews>
    <sheetView topLeftCell="A116" zoomScale="80" zoomScaleNormal="80" workbookViewId="0">
      <selection activeCell="B59" sqref="B59"/>
    </sheetView>
  </sheetViews>
  <sheetFormatPr baseColWidth="10" defaultColWidth="10.6328125" defaultRowHeight="15" customHeight="1" x14ac:dyDescent="0.25"/>
  <cols>
    <col min="1" max="1" width="10.6328125" style="22"/>
    <col min="2" max="2" width="51.6328125" style="22" customWidth="1"/>
    <col min="3" max="3" width="2" style="22" customWidth="1"/>
    <col min="4" max="4" width="11.36328125" style="22" customWidth="1"/>
    <col min="5" max="5" width="13.08984375" style="22" customWidth="1"/>
    <col min="6" max="16" width="11.36328125" style="22" customWidth="1"/>
    <col min="17" max="17" width="15.54296875" style="22" customWidth="1"/>
    <col min="18" max="28" width="11.36328125" style="22" customWidth="1"/>
    <col min="29" max="16384" width="10.6328125" style="22"/>
  </cols>
  <sheetData>
    <row r="1" spans="1:21" ht="15" customHeight="1" x14ac:dyDescent="0.25">
      <c r="A1" s="23"/>
    </row>
    <row r="2" spans="1:21" ht="15" customHeight="1" x14ac:dyDescent="0.25">
      <c r="A2" s="23"/>
    </row>
    <row r="3" spans="1:21" ht="15" customHeight="1" x14ac:dyDescent="0.25">
      <c r="A3" s="23"/>
      <c r="B3" s="49" t="s">
        <v>344</v>
      </c>
      <c r="C3" s="53"/>
      <c r="D3" s="53"/>
      <c r="E3" s="53"/>
      <c r="F3" s="53"/>
      <c r="G3" s="53"/>
    </row>
    <row r="4" spans="1:21" ht="15" customHeight="1" thickBot="1" x14ac:dyDescent="0.3">
      <c r="A4" s="23"/>
    </row>
    <row r="5" spans="1:21" ht="15" customHeight="1" x14ac:dyDescent="0.25">
      <c r="A5" s="23"/>
      <c r="D5" s="814" t="s">
        <v>226</v>
      </c>
      <c r="E5" s="815"/>
      <c r="F5" s="815"/>
      <c r="G5" s="816"/>
    </row>
    <row r="6" spans="1:21" ht="14" customHeight="1" thickBot="1" x14ac:dyDescent="0.3">
      <c r="A6" s="23"/>
      <c r="D6" s="817"/>
      <c r="E6" s="818"/>
      <c r="F6" s="818"/>
      <c r="G6" s="819"/>
      <c r="I6" s="813"/>
      <c r="J6" s="813"/>
    </row>
    <row r="7" spans="1:21" s="41" customFormat="1" ht="20.75" customHeight="1" thickBot="1" x14ac:dyDescent="0.3">
      <c r="A7" s="62"/>
      <c r="B7" s="140" t="s">
        <v>234</v>
      </c>
      <c r="D7" s="821" t="s">
        <v>231</v>
      </c>
      <c r="E7" s="822" t="s">
        <v>230</v>
      </c>
      <c r="F7" s="823" t="s">
        <v>162</v>
      </c>
      <c r="G7" s="820" t="s">
        <v>163</v>
      </c>
      <c r="H7" s="138"/>
    </row>
    <row r="8" spans="1:21" s="41" customFormat="1" ht="22.25" customHeight="1" thickBot="1" x14ac:dyDescent="0.3">
      <c r="A8" s="62"/>
      <c r="D8" s="802"/>
      <c r="E8" s="810"/>
      <c r="F8" s="800"/>
      <c r="G8" s="812"/>
      <c r="H8" s="138"/>
    </row>
    <row r="9" spans="1:21" ht="15" customHeight="1" thickBot="1" x14ac:dyDescent="0.3">
      <c r="A9" s="54"/>
      <c r="B9" s="187" t="s">
        <v>232</v>
      </c>
      <c r="C9" s="114"/>
      <c r="D9" s="41"/>
      <c r="E9" s="41"/>
      <c r="F9" s="190"/>
      <c r="G9" s="190"/>
      <c r="H9" s="138"/>
      <c r="I9" s="65"/>
      <c r="J9" s="65"/>
      <c r="K9" s="65"/>
      <c r="L9" s="65"/>
      <c r="M9" s="65"/>
      <c r="N9" s="65"/>
      <c r="O9" s="65"/>
      <c r="P9" s="65"/>
      <c r="Q9" s="65"/>
      <c r="R9" s="65"/>
      <c r="S9" s="65"/>
      <c r="T9" s="65"/>
      <c r="U9" s="66"/>
    </row>
    <row r="10" spans="1:21" ht="14" customHeight="1" x14ac:dyDescent="0.25">
      <c r="A10" s="54"/>
      <c r="B10" s="59" t="s">
        <v>145</v>
      </c>
      <c r="D10" s="466">
        <f>'Saisie budget prévisionnel'!D43</f>
        <v>500</v>
      </c>
      <c r="E10" s="467">
        <f>D10*(1+'Données Générales'!$D$16)</f>
        <v>500</v>
      </c>
      <c r="F10" s="534" t="s">
        <v>222</v>
      </c>
      <c r="G10" s="471">
        <f>IF(F10="Mensuelle",E10/12,(IF(F10="Trimestrielle",E10/4,(IF(F10="Semestrielle",E10/2,E10)))))</f>
        <v>41.666666666666664</v>
      </c>
      <c r="H10" s="81" t="str">
        <f>IF(F10="Mensuelle","par mois",(IF(F10="Annuelle","par an",(IF(F10="Semestrielle","deux fois par an",(IF(F10="Trimestrielle","trois fois par an","")))))))</f>
        <v>par mois</v>
      </c>
      <c r="I10" s="65"/>
    </row>
    <row r="11" spans="1:21" ht="14" customHeight="1" x14ac:dyDescent="0.25">
      <c r="A11" s="54"/>
      <c r="B11" s="33" t="s">
        <v>146</v>
      </c>
      <c r="D11" s="342">
        <f>'Saisie budget prévisionnel'!D44</f>
        <v>5000</v>
      </c>
      <c r="E11" s="468">
        <f>D11*(1+'Données Générales'!$D$16)</f>
        <v>5000</v>
      </c>
      <c r="F11" s="390" t="s">
        <v>225</v>
      </c>
      <c r="G11" s="343">
        <f t="shared" ref="G11:G25" si="0">IF(F11="Mensuelle",D11/12,(IF(F11="Trimestrielle",D11/4,(IF(F11="Semestrielle",D11/2,D11)))))</f>
        <v>1250</v>
      </c>
      <c r="H11" s="81" t="str">
        <f t="shared" ref="H11:H25" si="1">IF(F11="Mensuelle","par mois",(IF(F11="Annuelle","par an",(IF(F11="Semestrielle","deux fois par an",(IF(F11="Trimestrielle","trois fois par an","")))))))</f>
        <v>trois fois par an</v>
      </c>
      <c r="I11" s="65"/>
    </row>
    <row r="12" spans="1:21" ht="14" customHeight="1" x14ac:dyDescent="0.25">
      <c r="A12" s="54"/>
      <c r="B12" s="33" t="s">
        <v>147</v>
      </c>
      <c r="D12" s="342">
        <f>'Saisie budget prévisionnel'!D45</f>
        <v>50</v>
      </c>
      <c r="E12" s="468">
        <f>D12*(1+'Données Générales'!$D$16)</f>
        <v>50</v>
      </c>
      <c r="F12" s="390" t="s">
        <v>223</v>
      </c>
      <c r="G12" s="343">
        <f t="shared" si="0"/>
        <v>25</v>
      </c>
      <c r="H12" s="81" t="str">
        <f t="shared" si="1"/>
        <v>deux fois par an</v>
      </c>
      <c r="I12" s="65"/>
    </row>
    <row r="13" spans="1:21" ht="14" customHeight="1" x14ac:dyDescent="0.25">
      <c r="A13" s="54"/>
      <c r="B13" s="33" t="s">
        <v>148</v>
      </c>
      <c r="D13" s="342">
        <f>'Saisie budget prévisionnel'!D46</f>
        <v>3000</v>
      </c>
      <c r="E13" s="468">
        <f>D13*(1+'Données Générales'!$D$16)</f>
        <v>3000</v>
      </c>
      <c r="F13" s="390"/>
      <c r="G13" s="343">
        <f t="shared" si="0"/>
        <v>3000</v>
      </c>
      <c r="H13" s="81" t="str">
        <f t="shared" si="1"/>
        <v/>
      </c>
      <c r="I13" s="65"/>
    </row>
    <row r="14" spans="1:21" ht="14" customHeight="1" x14ac:dyDescent="0.25">
      <c r="A14" s="54"/>
      <c r="B14" s="33" t="s">
        <v>149</v>
      </c>
      <c r="D14" s="342">
        <f>'Saisie budget prévisionnel'!D47</f>
        <v>0</v>
      </c>
      <c r="E14" s="468">
        <f>D14*(1+'Données Générales'!$D$16)</f>
        <v>0</v>
      </c>
      <c r="F14" s="390"/>
      <c r="G14" s="343">
        <f t="shared" si="0"/>
        <v>0</v>
      </c>
      <c r="H14" s="81" t="str">
        <f t="shared" si="1"/>
        <v/>
      </c>
    </row>
    <row r="15" spans="1:21" ht="14" customHeight="1" x14ac:dyDescent="0.25">
      <c r="A15" s="54"/>
      <c r="B15" s="33" t="s">
        <v>150</v>
      </c>
      <c r="D15" s="342">
        <f>'Saisie budget prévisionnel'!D48</f>
        <v>0</v>
      </c>
      <c r="E15" s="468">
        <f>D15*(1+'Données Générales'!$D$16)</f>
        <v>0</v>
      </c>
      <c r="F15" s="390"/>
      <c r="G15" s="343">
        <f t="shared" si="0"/>
        <v>0</v>
      </c>
      <c r="H15" s="81" t="str">
        <f t="shared" si="1"/>
        <v/>
      </c>
    </row>
    <row r="16" spans="1:21" ht="14" customHeight="1" x14ac:dyDescent="0.25">
      <c r="A16" s="54"/>
      <c r="B16" s="33" t="s">
        <v>151</v>
      </c>
      <c r="D16" s="342">
        <f>'Saisie budget prévisionnel'!D49</f>
        <v>0</v>
      </c>
      <c r="E16" s="468">
        <f>D16*(1+'Données Générales'!$D$16)</f>
        <v>0</v>
      </c>
      <c r="F16" s="390"/>
      <c r="G16" s="343">
        <f t="shared" si="0"/>
        <v>0</v>
      </c>
      <c r="H16" s="81" t="str">
        <f t="shared" si="1"/>
        <v/>
      </c>
      <c r="I16" s="65"/>
      <c r="J16" s="65"/>
      <c r="K16" s="65"/>
      <c r="L16" s="65"/>
      <c r="M16" s="65"/>
      <c r="N16" s="65"/>
      <c r="O16" s="65"/>
      <c r="P16" s="65"/>
      <c r="Q16" s="65"/>
      <c r="R16" s="65"/>
      <c r="S16" s="65"/>
      <c r="T16" s="65"/>
      <c r="U16" s="66"/>
    </row>
    <row r="17" spans="1:8" ht="12.5" x14ac:dyDescent="0.25">
      <c r="A17" s="54"/>
      <c r="B17" s="33" t="s">
        <v>153</v>
      </c>
      <c r="D17" s="342">
        <f>'Saisie budget prévisionnel'!D50</f>
        <v>0</v>
      </c>
      <c r="E17" s="468">
        <f>D17*(1+'Données Générales'!$D$16)</f>
        <v>0</v>
      </c>
      <c r="F17" s="390"/>
      <c r="G17" s="343">
        <f t="shared" si="0"/>
        <v>0</v>
      </c>
      <c r="H17" s="81" t="str">
        <f t="shared" si="1"/>
        <v/>
      </c>
    </row>
    <row r="18" spans="1:8" ht="14" customHeight="1" x14ac:dyDescent="0.25">
      <c r="A18" s="54"/>
      <c r="B18" s="33" t="s">
        <v>169</v>
      </c>
      <c r="D18" s="342">
        <f>'Saisie budget prévisionnel'!D51</f>
        <v>0</v>
      </c>
      <c r="E18" s="468">
        <f>D18*(1+'Données Générales'!$D$16)</f>
        <v>0</v>
      </c>
      <c r="F18" s="390"/>
      <c r="G18" s="343">
        <f t="shared" si="0"/>
        <v>0</v>
      </c>
      <c r="H18" s="81" t="str">
        <f t="shared" si="1"/>
        <v/>
      </c>
    </row>
    <row r="19" spans="1:8" ht="14" customHeight="1" x14ac:dyDescent="0.25">
      <c r="A19" s="54"/>
      <c r="B19" s="33" t="s">
        <v>99</v>
      </c>
      <c r="D19" s="342">
        <f>'Saisie budget prévisionnel'!D52</f>
        <v>0</v>
      </c>
      <c r="E19" s="468">
        <f>D19*(1+'Données Générales'!$D$16)</f>
        <v>0</v>
      </c>
      <c r="F19" s="390"/>
      <c r="G19" s="343">
        <f t="shared" si="0"/>
        <v>0</v>
      </c>
      <c r="H19" s="81" t="str">
        <f t="shared" si="1"/>
        <v/>
      </c>
    </row>
    <row r="20" spans="1:8" ht="14" customHeight="1" x14ac:dyDescent="0.25">
      <c r="A20" s="54"/>
      <c r="B20" s="33" t="s">
        <v>90</v>
      </c>
      <c r="D20" s="342">
        <f>'Saisie budget prévisionnel'!D53</f>
        <v>0</v>
      </c>
      <c r="E20" s="468">
        <f>D20*(1+'Données Générales'!$D$16)</f>
        <v>0</v>
      </c>
      <c r="F20" s="390"/>
      <c r="G20" s="343">
        <f t="shared" si="0"/>
        <v>0</v>
      </c>
      <c r="H20" s="81" t="str">
        <f t="shared" si="1"/>
        <v/>
      </c>
    </row>
    <row r="21" spans="1:8" ht="14" customHeight="1" x14ac:dyDescent="0.25">
      <c r="A21" s="54"/>
      <c r="B21" s="33" t="s">
        <v>98</v>
      </c>
      <c r="D21" s="342">
        <f>'Saisie budget prévisionnel'!D54</f>
        <v>0</v>
      </c>
      <c r="E21" s="468">
        <f>D21*(1+'Données Générales'!$D$16)</f>
        <v>0</v>
      </c>
      <c r="F21" s="390"/>
      <c r="G21" s="343">
        <f t="shared" si="0"/>
        <v>0</v>
      </c>
      <c r="H21" s="81" t="str">
        <f t="shared" si="1"/>
        <v/>
      </c>
    </row>
    <row r="22" spans="1:8" ht="14" customHeight="1" x14ac:dyDescent="0.25">
      <c r="A22" s="54"/>
      <c r="B22" s="33" t="s">
        <v>91</v>
      </c>
      <c r="D22" s="342">
        <f>'Saisie budget prévisionnel'!D55</f>
        <v>0</v>
      </c>
      <c r="E22" s="468">
        <f>D22*(1+'Données Générales'!$D$16)</f>
        <v>0</v>
      </c>
      <c r="F22" s="535"/>
      <c r="G22" s="343">
        <f t="shared" si="0"/>
        <v>0</v>
      </c>
      <c r="H22" s="81" t="str">
        <f t="shared" si="1"/>
        <v/>
      </c>
    </row>
    <row r="23" spans="1:8" ht="14" customHeight="1" x14ac:dyDescent="0.25">
      <c r="A23" s="54"/>
      <c r="B23" s="33" t="s">
        <v>170</v>
      </c>
      <c r="D23" s="342">
        <f>'Saisie budget prévisionnel'!D56</f>
        <v>0</v>
      </c>
      <c r="E23" s="468">
        <f>D23*(1+'Données Générales'!$D$16)</f>
        <v>0</v>
      </c>
      <c r="F23" s="535"/>
      <c r="G23" s="343">
        <f t="shared" si="0"/>
        <v>0</v>
      </c>
      <c r="H23" s="81" t="str">
        <f t="shared" si="1"/>
        <v/>
      </c>
    </row>
    <row r="24" spans="1:8" ht="14" customHeight="1" x14ac:dyDescent="0.25">
      <c r="A24" s="54"/>
      <c r="B24" s="188" t="s">
        <v>175</v>
      </c>
      <c r="D24" s="342">
        <f>'Saisie budget prévisionnel'!D57</f>
        <v>300</v>
      </c>
      <c r="E24" s="468">
        <f>D24*(1+'Données Générales'!$D$16)</f>
        <v>300</v>
      </c>
      <c r="F24" s="535" t="s">
        <v>222</v>
      </c>
      <c r="G24" s="343">
        <f t="shared" si="0"/>
        <v>25</v>
      </c>
      <c r="H24" s="81" t="str">
        <f t="shared" si="1"/>
        <v>par mois</v>
      </c>
    </row>
    <row r="25" spans="1:8" ht="14" customHeight="1" thickBot="1" x14ac:dyDescent="0.3">
      <c r="A25" s="54"/>
      <c r="B25" s="189" t="s">
        <v>175</v>
      </c>
      <c r="D25" s="469">
        <f>'Saisie budget prévisionnel'!D59</f>
        <v>8850</v>
      </c>
      <c r="E25" s="470">
        <f>D25*(1+'Données Générales'!$D$16)</f>
        <v>8850</v>
      </c>
      <c r="F25" s="536" t="s">
        <v>222</v>
      </c>
      <c r="G25" s="472">
        <f t="shared" si="0"/>
        <v>737.5</v>
      </c>
      <c r="H25" s="81" t="str">
        <f t="shared" si="1"/>
        <v>par mois</v>
      </c>
    </row>
    <row r="26" spans="1:8" ht="14" customHeight="1" thickBot="1" x14ac:dyDescent="0.3">
      <c r="A26" s="54"/>
    </row>
    <row r="27" spans="1:8" ht="14" customHeight="1" thickBot="1" x14ac:dyDescent="0.3">
      <c r="A27" s="54"/>
      <c r="B27" s="110" t="s">
        <v>191</v>
      </c>
    </row>
    <row r="28" spans="1:8" ht="14" customHeight="1" x14ac:dyDescent="0.25">
      <c r="A28" s="54"/>
      <c r="B28" s="104" t="s">
        <v>170</v>
      </c>
      <c r="D28" s="529">
        <v>20000</v>
      </c>
      <c r="E28" s="473"/>
      <c r="F28" s="537" t="s">
        <v>223</v>
      </c>
      <c r="G28" s="478">
        <f t="shared" ref="G28:G35" si="2">IF(F28="Mensuelle",D28/12,(IF(F28="Trimestrielle",D28/4,(IF(F28="Semestrielle",D28/2,D28)))))</f>
        <v>10000</v>
      </c>
      <c r="H28" s="81" t="str">
        <f t="shared" ref="H28:H35" si="3">IF(F28="Mensuelle","par mois",(IF(F28="Annuelle","par an",(IF(F28="Semestrielle","deux fois par an",(IF(F28="Trimestrielle","trois fois par an","")))))))</f>
        <v>deux fois par an</v>
      </c>
    </row>
    <row r="29" spans="1:8" ht="14" customHeight="1" x14ac:dyDescent="0.25">
      <c r="A29" s="54"/>
      <c r="B29" s="105" t="s">
        <v>227</v>
      </c>
      <c r="D29" s="530"/>
      <c r="E29" s="474"/>
      <c r="F29" s="390"/>
      <c r="G29" s="479">
        <f t="shared" si="2"/>
        <v>0</v>
      </c>
      <c r="H29" s="81" t="str">
        <f t="shared" si="3"/>
        <v/>
      </c>
    </row>
    <row r="30" spans="1:8" ht="14" customHeight="1" x14ac:dyDescent="0.25">
      <c r="A30" s="54"/>
      <c r="B30" s="105" t="s">
        <v>177</v>
      </c>
      <c r="D30" s="530"/>
      <c r="E30" s="474"/>
      <c r="F30" s="390"/>
      <c r="G30" s="479">
        <f t="shared" si="2"/>
        <v>0</v>
      </c>
      <c r="H30" s="81" t="str">
        <f t="shared" si="3"/>
        <v/>
      </c>
    </row>
    <row r="31" spans="1:8" ht="14" customHeight="1" x14ac:dyDescent="0.25">
      <c r="A31" s="54"/>
      <c r="B31" s="105" t="s">
        <v>228</v>
      </c>
      <c r="D31" s="530"/>
      <c r="E31" s="474"/>
      <c r="F31" s="390"/>
      <c r="G31" s="479">
        <f t="shared" si="2"/>
        <v>0</v>
      </c>
      <c r="H31" s="81" t="str">
        <f t="shared" si="3"/>
        <v/>
      </c>
    </row>
    <row r="32" spans="1:8" ht="14" customHeight="1" x14ac:dyDescent="0.25">
      <c r="A32" s="54"/>
      <c r="B32" s="105" t="s">
        <v>174</v>
      </c>
      <c r="D32" s="530"/>
      <c r="E32" s="474"/>
      <c r="F32" s="390"/>
      <c r="G32" s="479">
        <f t="shared" si="2"/>
        <v>0</v>
      </c>
      <c r="H32" s="81" t="str">
        <f t="shared" si="3"/>
        <v/>
      </c>
    </row>
    <row r="33" spans="1:21" ht="14" customHeight="1" x14ac:dyDescent="0.25">
      <c r="A33" s="54"/>
      <c r="B33" s="105" t="s">
        <v>91</v>
      </c>
      <c r="D33" s="530"/>
      <c r="E33" s="474"/>
      <c r="F33" s="390"/>
      <c r="G33" s="479">
        <f t="shared" si="2"/>
        <v>0</v>
      </c>
      <c r="H33" s="81" t="str">
        <f t="shared" si="3"/>
        <v/>
      </c>
      <c r="I33" s="813"/>
      <c r="J33" s="813"/>
    </row>
    <row r="34" spans="1:21" ht="14" customHeight="1" x14ac:dyDescent="0.25">
      <c r="A34" s="54"/>
      <c r="B34" s="105" t="s">
        <v>155</v>
      </c>
      <c r="D34" s="530"/>
      <c r="E34" s="474"/>
      <c r="F34" s="390"/>
      <c r="G34" s="479">
        <f t="shared" si="2"/>
        <v>0</v>
      </c>
      <c r="H34" s="81" t="str">
        <f t="shared" si="3"/>
        <v/>
      </c>
    </row>
    <row r="35" spans="1:21" ht="14" customHeight="1" thickBot="1" x14ac:dyDescent="0.3">
      <c r="A35" s="54"/>
      <c r="B35" s="106" t="s">
        <v>155</v>
      </c>
      <c r="D35" s="531"/>
      <c r="E35" s="475"/>
      <c r="F35" s="538"/>
      <c r="G35" s="480">
        <f t="shared" si="2"/>
        <v>0</v>
      </c>
      <c r="H35" s="81" t="str">
        <f t="shared" si="3"/>
        <v/>
      </c>
      <c r="I35" s="65"/>
      <c r="J35" s="65"/>
      <c r="K35" s="65"/>
      <c r="L35" s="65"/>
      <c r="M35" s="65"/>
      <c r="N35" s="65"/>
      <c r="O35" s="65"/>
      <c r="P35" s="65"/>
      <c r="Q35" s="65"/>
      <c r="R35" s="65"/>
      <c r="S35" s="65"/>
      <c r="T35" s="65"/>
      <c r="U35" s="66"/>
    </row>
    <row r="36" spans="1:21" ht="13" thickBot="1" x14ac:dyDescent="0.3">
      <c r="A36" s="54"/>
    </row>
    <row r="37" spans="1:21" ht="14" customHeight="1" thickBot="1" x14ac:dyDescent="0.3">
      <c r="A37" s="54"/>
      <c r="B37" s="110" t="s">
        <v>92</v>
      </c>
    </row>
    <row r="38" spans="1:21" ht="14" customHeight="1" x14ac:dyDescent="0.25">
      <c r="A38" s="54"/>
      <c r="B38" s="104" t="s">
        <v>152</v>
      </c>
      <c r="D38" s="532"/>
      <c r="E38" s="476"/>
      <c r="F38" s="537"/>
      <c r="G38" s="478">
        <f>IF(F38="Mensuelle",D38/12,(IF(F38="Trimestrielle",D38/4,(IF(F38="Semestrielle",D38/2,D38)))))</f>
        <v>0</v>
      </c>
      <c r="H38" s="81" t="str">
        <f t="shared" ref="H38:H39" si="4">IF(F38="Mensuelle","par mois",(IF(F38="Annuelle","par an",(IF(F38="Semestrielle","deux fois par an",(IF(F38="Trimestrielle","trois fois par an","")))))))</f>
        <v/>
      </c>
    </row>
    <row r="39" spans="1:21" ht="14" customHeight="1" thickBot="1" x14ac:dyDescent="0.3">
      <c r="A39" s="54"/>
      <c r="B39" s="106" t="s">
        <v>179</v>
      </c>
      <c r="C39" s="18"/>
      <c r="D39" s="533"/>
      <c r="E39" s="477"/>
      <c r="F39" s="538"/>
      <c r="G39" s="480">
        <f>IF(F39="Mensuelle",D39/12,(IF(F39="Trimestrielle",D39/4,(IF(F39="Semestrielle",D39/2,D39)))))</f>
        <v>0</v>
      </c>
      <c r="H39" s="81" t="str">
        <f t="shared" si="4"/>
        <v/>
      </c>
    </row>
    <row r="40" spans="1:21" ht="14" customHeight="1" thickBot="1" x14ac:dyDescent="0.3">
      <c r="A40" s="54"/>
    </row>
    <row r="41" spans="1:21" ht="14" customHeight="1" thickBot="1" x14ac:dyDescent="0.3">
      <c r="A41" s="54"/>
      <c r="B41" s="110" t="s">
        <v>171</v>
      </c>
    </row>
    <row r="42" spans="1:21" ht="14" customHeight="1" x14ac:dyDescent="0.25">
      <c r="A42" s="54"/>
      <c r="B42" s="104" t="s">
        <v>154</v>
      </c>
      <c r="D42" s="532"/>
      <c r="E42" s="476"/>
      <c r="F42" s="537"/>
      <c r="G42" s="478">
        <f>IF(F42="Mensuelle",D42/12,(IF(F42="Trimestrielle",D42/4,(IF(F42="Semestrielle",D42/2,D42)))))</f>
        <v>0</v>
      </c>
      <c r="H42" s="81" t="str">
        <f t="shared" ref="H42:H43" si="5">IF(F42="Mensuelle","par mois",(IF(F42="Annuelle","par an",(IF(F42="Semestrielle","deux fois par an",(IF(F42="Trimestrielle","trois fois par an","")))))))</f>
        <v/>
      </c>
    </row>
    <row r="43" spans="1:21" ht="15" customHeight="1" thickBot="1" x14ac:dyDescent="0.3">
      <c r="A43" s="54"/>
      <c r="B43" s="106" t="s">
        <v>154</v>
      </c>
      <c r="D43" s="533"/>
      <c r="E43" s="477"/>
      <c r="F43" s="538"/>
      <c r="G43" s="480">
        <f>IF(F43="Mensuelle",D43/12,(IF(F43="Trimestrielle",D43/4,(IF(F43="Semestrielle",D43/2,D43)))))</f>
        <v>0</v>
      </c>
      <c r="H43" s="81" t="str">
        <f t="shared" si="5"/>
        <v/>
      </c>
      <c r="L43" s="65"/>
      <c r="M43" s="65"/>
      <c r="N43" s="65"/>
      <c r="O43" s="65"/>
      <c r="P43" s="65"/>
      <c r="Q43" s="65"/>
      <c r="R43" s="65"/>
      <c r="S43" s="65"/>
      <c r="T43" s="65"/>
      <c r="U43" s="66"/>
    </row>
    <row r="44" spans="1:21" ht="14" customHeight="1" x14ac:dyDescent="0.25">
      <c r="A44" s="54"/>
      <c r="D44" s="63"/>
      <c r="E44" s="63"/>
      <c r="F44" s="63"/>
      <c r="H44" s="139"/>
      <c r="I44" s="139"/>
      <c r="J44" s="139"/>
    </row>
    <row r="45" spans="1:21" ht="14" customHeight="1" thickBot="1" x14ac:dyDescent="0.3">
      <c r="A45" s="54"/>
    </row>
    <row r="46" spans="1:21" ht="14" customHeight="1" x14ac:dyDescent="0.25">
      <c r="A46" s="54"/>
      <c r="D46" s="803" t="s">
        <v>229</v>
      </c>
      <c r="E46" s="804"/>
      <c r="F46" s="804"/>
      <c r="G46" s="805"/>
    </row>
    <row r="47" spans="1:21" ht="14" customHeight="1" thickBot="1" x14ac:dyDescent="0.3">
      <c r="A47" s="54"/>
      <c r="D47" s="806"/>
      <c r="E47" s="807"/>
      <c r="F47" s="807"/>
      <c r="G47" s="808"/>
    </row>
    <row r="48" spans="1:21" ht="12" customHeight="1" thickBot="1" x14ac:dyDescent="0.3">
      <c r="A48" s="54"/>
      <c r="D48" s="801" t="s">
        <v>231</v>
      </c>
      <c r="E48" s="809" t="s">
        <v>230</v>
      </c>
      <c r="F48" s="799" t="s">
        <v>162</v>
      </c>
      <c r="G48" s="811" t="s">
        <v>163</v>
      </c>
    </row>
    <row r="49" spans="1:16" ht="29.75" customHeight="1" thickBot="1" x14ac:dyDescent="0.3">
      <c r="A49" s="54"/>
      <c r="B49" s="90" t="s">
        <v>235</v>
      </c>
      <c r="D49" s="802"/>
      <c r="E49" s="810"/>
      <c r="F49" s="800"/>
      <c r="G49" s="812"/>
    </row>
    <row r="50" spans="1:16" customFormat="1" thickBot="1" x14ac:dyDescent="0.4">
      <c r="I50" s="152"/>
      <c r="J50" s="22"/>
      <c r="K50" s="22"/>
      <c r="L50" s="22"/>
      <c r="M50" s="22"/>
      <c r="N50" s="22"/>
      <c r="O50" s="22"/>
      <c r="P50" s="22"/>
    </row>
    <row r="51" spans="1:16" ht="14" customHeight="1" thickBot="1" x14ac:dyDescent="0.3">
      <c r="A51" s="753">
        <f>+'Détails construc budget prev'!A9</f>
        <v>5.5E-2</v>
      </c>
      <c r="B51" s="740" t="str">
        <f>+'Détails construc budget prev'!B9</f>
        <v>Cession de spectacles DD</v>
      </c>
      <c r="D51" s="539">
        <f>+'Détails construc budget prev'!F9</f>
        <v>5000</v>
      </c>
      <c r="E51" s="467">
        <f>IF('Données Générales'!$D$7="Non fiscalisée",D51,D51*(1+A51))</f>
        <v>5000</v>
      </c>
      <c r="F51" s="534" t="s">
        <v>222</v>
      </c>
      <c r="G51" s="471">
        <f>IF(F51="Mensuelle",E51/12,(IF(F51="Trimestrielle",E51/4,(IF(F51="Semestrielle",E51/2,E51)))))</f>
        <v>416.66666666666669</v>
      </c>
      <c r="H51" s="81" t="str">
        <f t="shared" ref="H51:H61" si="6">IF(F51="Mensuelle","par mois",(IF(F51="Annuelle","par an",(IF(F51="Semestrielle","deux fois par an",(IF(F51="Trimestrielle","trois fois par an","")))))))</f>
        <v>par mois</v>
      </c>
    </row>
    <row r="52" spans="1:16" ht="14" customHeight="1" thickBot="1" x14ac:dyDescent="0.3">
      <c r="A52" s="753">
        <f>+'Détails construc budget prev'!A10</f>
        <v>0.2</v>
      </c>
      <c r="B52" s="697" t="str">
        <f>+'Détails construc budget prev'!B10</f>
        <v>Prestations</v>
      </c>
      <c r="D52" s="389">
        <f>+'Détails construc budget prev'!F10</f>
        <v>0</v>
      </c>
      <c r="E52" s="467">
        <f>IF('Données Générales'!$D$7="Non fiscalisée",D52,D52*(1+A52))</f>
        <v>0</v>
      </c>
      <c r="F52" s="390"/>
      <c r="G52" s="343">
        <f t="shared" ref="G52:G61" si="7">IF(F52="Mensuelle",E52/12,(IF(F52="Trimestrielle",E52/4,(IF(F52="Semestrielle",E52/2,E52)))))</f>
        <v>0</v>
      </c>
      <c r="H52" s="81" t="str">
        <f t="shared" si="6"/>
        <v/>
      </c>
    </row>
    <row r="53" spans="1:16" ht="14" customHeight="1" thickBot="1" x14ac:dyDescent="0.3">
      <c r="A53" s="753">
        <f>+'Détails construc budget prev'!A11</f>
        <v>0</v>
      </c>
      <c r="B53" s="697">
        <f>+'Détails construc budget prev'!B11</f>
        <v>0</v>
      </c>
      <c r="D53" s="389">
        <f>+'Détails construc budget prev'!F11</f>
        <v>0</v>
      </c>
      <c r="E53" s="467">
        <f>IF('Données Générales'!$D$7="Non fiscalisée",D53,D53*(1+A53))</f>
        <v>0</v>
      </c>
      <c r="F53" s="390"/>
      <c r="G53" s="343">
        <f t="shared" si="7"/>
        <v>0</v>
      </c>
      <c r="H53" s="81" t="str">
        <f t="shared" si="6"/>
        <v/>
      </c>
    </row>
    <row r="54" spans="1:16" ht="14" customHeight="1" thickBot="1" x14ac:dyDescent="0.3">
      <c r="A54" s="753">
        <f>+'Détails construc budget prev'!A12</f>
        <v>5.5E-2</v>
      </c>
      <c r="B54" s="697" t="str">
        <f>+'Détails construc budget prev'!B12</f>
        <v xml:space="preserve">Stages et ateliers </v>
      </c>
      <c r="D54" s="389">
        <f>+'Détails construc budget prev'!F12</f>
        <v>30000</v>
      </c>
      <c r="E54" s="467">
        <f>IF('Données Générales'!$D$7="Non fiscalisée",D54,D54*(1+A54))</f>
        <v>30000</v>
      </c>
      <c r="F54" s="390" t="s">
        <v>222</v>
      </c>
      <c r="G54" s="343">
        <f t="shared" si="7"/>
        <v>2500</v>
      </c>
      <c r="H54" s="81" t="str">
        <f t="shared" si="6"/>
        <v>par mois</v>
      </c>
    </row>
    <row r="55" spans="1:16" ht="14" customHeight="1" thickBot="1" x14ac:dyDescent="0.3">
      <c r="A55" s="753">
        <f>+'Détails construc budget prev'!A13</f>
        <v>5.5E-2</v>
      </c>
      <c r="B55" s="697" t="str">
        <f>+'Détails construc budget prev'!B13</f>
        <v>Coproductions</v>
      </c>
      <c r="D55" s="389">
        <f>+'Détails construc budget prev'!F13</f>
        <v>1500</v>
      </c>
      <c r="E55" s="467">
        <f>IF('Données Générales'!$D$7="Non fiscalisée",D55,D55*(1+A55))</f>
        <v>1500</v>
      </c>
      <c r="F55" s="390" t="s">
        <v>221</v>
      </c>
      <c r="G55" s="343">
        <f t="shared" si="7"/>
        <v>1500</v>
      </c>
      <c r="H55" s="81" t="str">
        <f t="shared" si="6"/>
        <v>par an</v>
      </c>
    </row>
    <row r="56" spans="1:16" ht="14" customHeight="1" thickBot="1" x14ac:dyDescent="0.3">
      <c r="A56" s="753">
        <f>+'Détails construc budget prev'!A14</f>
        <v>0</v>
      </c>
      <c r="B56" s="697" t="str">
        <f>+'Détails construc budget prev'!B14</f>
        <v>Actions culturelles</v>
      </c>
      <c r="D56" s="389">
        <f>+'Détails construc budget prev'!F14</f>
        <v>0</v>
      </c>
      <c r="E56" s="467">
        <f>IF('Données Générales'!$D$7="Non fiscalisée",D56,D56*(1+A56))</f>
        <v>0</v>
      </c>
      <c r="F56" s="390"/>
      <c r="G56" s="343">
        <f t="shared" si="7"/>
        <v>0</v>
      </c>
      <c r="H56" s="81" t="str">
        <f t="shared" si="6"/>
        <v/>
      </c>
    </row>
    <row r="57" spans="1:16" ht="14" customHeight="1" thickBot="1" x14ac:dyDescent="0.3">
      <c r="A57" s="753">
        <f>+'Détails construc budget prev'!A15</f>
        <v>5.5E-2</v>
      </c>
      <c r="B57" s="697" t="str">
        <f>+'Détails construc budget prev'!B15</f>
        <v>Activités annexes</v>
      </c>
      <c r="D57" s="389">
        <f>+'Détails construc budget prev'!F15</f>
        <v>0</v>
      </c>
      <c r="E57" s="467">
        <f>IF('Données Générales'!$D$7="Non fiscalisée",D57,D57*(1+A57))</f>
        <v>0</v>
      </c>
      <c r="F57" s="390"/>
      <c r="G57" s="343">
        <f t="shared" si="7"/>
        <v>0</v>
      </c>
      <c r="H57" s="81" t="str">
        <f t="shared" si="6"/>
        <v/>
      </c>
    </row>
    <row r="58" spans="1:16" ht="14" customHeight="1" thickBot="1" x14ac:dyDescent="0.3">
      <c r="A58" s="753">
        <f>+'Détails construc budget prev'!A16</f>
        <v>2.1000000000000001E-2</v>
      </c>
      <c r="B58" s="697" t="str">
        <f>+'Détails construc budget prev'!B16</f>
        <v xml:space="preserve">Billetterie </v>
      </c>
      <c r="D58" s="389">
        <f>+'Détails construc budget prev'!F16</f>
        <v>19588.638589618025</v>
      </c>
      <c r="E58" s="467">
        <f>IF('Données Générales'!$D$7="Non fiscalisée",D58,D58*(1+A58))</f>
        <v>19588.638589618025</v>
      </c>
      <c r="F58" s="390" t="s">
        <v>222</v>
      </c>
      <c r="G58" s="343">
        <f t="shared" si="7"/>
        <v>1632.3865491348354</v>
      </c>
      <c r="H58" s="81" t="str">
        <f t="shared" si="6"/>
        <v>par mois</v>
      </c>
    </row>
    <row r="59" spans="1:16" ht="14" customHeight="1" thickBot="1" x14ac:dyDescent="0.3">
      <c r="A59" s="753">
        <f>+'Détails construc budget prev'!A17</f>
        <v>5.5E-2</v>
      </c>
      <c r="B59" s="697" t="str">
        <f>+'Détails construc budget prev'!B17</f>
        <v xml:space="preserve">Billetterie </v>
      </c>
      <c r="D59" s="389">
        <f>+'Détails construc budget prev'!F17</f>
        <v>0</v>
      </c>
      <c r="E59" s="467">
        <f>IF('Données Générales'!$D$7="Non fiscalisée",D59,D59*(1+A59))</f>
        <v>0</v>
      </c>
      <c r="F59" s="390"/>
      <c r="G59" s="343">
        <f t="shared" si="7"/>
        <v>0</v>
      </c>
      <c r="H59" s="81" t="str">
        <f t="shared" si="6"/>
        <v/>
      </c>
    </row>
    <row r="60" spans="1:16" ht="14" customHeight="1" thickBot="1" x14ac:dyDescent="0.3">
      <c r="A60" s="753">
        <f>+'Détails construc budget prev'!A18</f>
        <v>5.5E-2</v>
      </c>
      <c r="B60" s="697" t="str">
        <f>+'Détails construc budget prev'!B18</f>
        <v xml:space="preserve">Bar </v>
      </c>
      <c r="D60" s="389">
        <f>+'Détails construc budget prev'!F18</f>
        <v>5000</v>
      </c>
      <c r="E60" s="467">
        <f>IF('Données Générales'!$D$7="Non fiscalisée",D60,D60*(1+A60))</f>
        <v>5000</v>
      </c>
      <c r="F60" s="390" t="s">
        <v>222</v>
      </c>
      <c r="G60" s="343">
        <f t="shared" si="7"/>
        <v>416.66666666666669</v>
      </c>
      <c r="H60" s="81" t="str">
        <f t="shared" si="6"/>
        <v>par mois</v>
      </c>
    </row>
    <row r="61" spans="1:16" ht="14" customHeight="1" thickBot="1" x14ac:dyDescent="0.3">
      <c r="A61" s="753">
        <f>+'Détails construc budget prev'!A19</f>
        <v>0</v>
      </c>
      <c r="B61" s="697" t="str">
        <f>+'Détails construc budget prev'!B19</f>
        <v>Autre</v>
      </c>
      <c r="D61" s="389">
        <f>+'Détails construc budget prev'!F19</f>
        <v>0</v>
      </c>
      <c r="E61" s="467">
        <f>IF('Données Générales'!$D$7="Non fiscalisée",D61,D61*(1+A61))</f>
        <v>0</v>
      </c>
      <c r="F61" s="536"/>
      <c r="G61" s="472">
        <f t="shared" si="7"/>
        <v>0</v>
      </c>
      <c r="H61" s="81" t="str">
        <f t="shared" si="6"/>
        <v/>
      </c>
    </row>
    <row r="62" spans="1:16" ht="14" customHeight="1" x14ac:dyDescent="0.25">
      <c r="A62" s="54"/>
      <c r="D62" s="63"/>
      <c r="E62" s="63"/>
      <c r="F62" s="63"/>
    </row>
    <row r="63" spans="1:16" ht="14" customHeight="1" x14ac:dyDescent="0.25">
      <c r="A63" s="54"/>
      <c r="D63" s="63"/>
      <c r="E63" s="63"/>
      <c r="F63" s="63"/>
    </row>
    <row r="64" spans="1:16" ht="14" customHeight="1" x14ac:dyDescent="0.25">
      <c r="A64" s="54"/>
      <c r="B64" s="49" t="s">
        <v>345</v>
      </c>
      <c r="C64" s="88"/>
      <c r="D64" s="88"/>
      <c r="E64" s="88"/>
      <c r="F64" s="88"/>
      <c r="G64" s="88"/>
      <c r="H64" s="88"/>
      <c r="I64" s="88"/>
      <c r="J64" s="88"/>
      <c r="K64" s="88"/>
      <c r="L64" s="88"/>
      <c r="M64" s="88"/>
      <c r="N64" s="88"/>
      <c r="O64" s="88"/>
    </row>
    <row r="65" spans="1:20" ht="14" customHeight="1" x14ac:dyDescent="0.25">
      <c r="A65" s="54"/>
      <c r="D65" s="63"/>
      <c r="E65" s="63"/>
      <c r="F65" s="63"/>
    </row>
    <row r="66" spans="1:20" ht="14" customHeight="1" x14ac:dyDescent="0.25">
      <c r="A66" s="54"/>
      <c r="D66" s="63"/>
      <c r="E66" s="63"/>
      <c r="F66" s="63"/>
      <c r="H66" s="65"/>
      <c r="I66" s="65"/>
      <c r="J66" s="65"/>
      <c r="K66" s="65"/>
      <c r="L66" s="65"/>
      <c r="M66" s="65"/>
      <c r="N66" s="65"/>
      <c r="O66" s="65"/>
      <c r="Q66" s="65"/>
      <c r="R66" s="65"/>
      <c r="S66" s="65"/>
      <c r="T66" s="66"/>
    </row>
    <row r="67" spans="1:20" ht="12.5" x14ac:dyDescent="0.25">
      <c r="A67" s="54"/>
      <c r="B67" s="134" t="s">
        <v>43</v>
      </c>
      <c r="C67" s="69"/>
      <c r="D67" s="135">
        <f>'Données Générales'!D23</f>
        <v>44957</v>
      </c>
      <c r="E67" s="135">
        <f>IF(D67="","",EOMONTH(D67,1))</f>
        <v>44985</v>
      </c>
      <c r="F67" s="135">
        <f t="shared" ref="F67:O67" si="8">IF(E67="","",EOMONTH(E67,1))</f>
        <v>45016</v>
      </c>
      <c r="G67" s="135">
        <f t="shared" si="8"/>
        <v>45046</v>
      </c>
      <c r="H67" s="135">
        <f t="shared" si="8"/>
        <v>45077</v>
      </c>
      <c r="I67" s="135">
        <f t="shared" si="8"/>
        <v>45107</v>
      </c>
      <c r="J67" s="135">
        <f t="shared" si="8"/>
        <v>45138</v>
      </c>
      <c r="K67" s="135">
        <f t="shared" si="8"/>
        <v>45169</v>
      </c>
      <c r="L67" s="135">
        <f t="shared" si="8"/>
        <v>45199</v>
      </c>
      <c r="M67" s="135">
        <f t="shared" si="8"/>
        <v>45230</v>
      </c>
      <c r="N67" s="135">
        <f t="shared" si="8"/>
        <v>45260</v>
      </c>
      <c r="O67" s="135">
        <f t="shared" si="8"/>
        <v>45291</v>
      </c>
      <c r="Q67" s="334" t="s">
        <v>343</v>
      </c>
    </row>
    <row r="68" spans="1:20" ht="14" customHeight="1" thickBot="1" x14ac:dyDescent="0.3">
      <c r="A68" s="54"/>
      <c r="C68" s="71"/>
      <c r="D68" s="72"/>
      <c r="E68" s="72"/>
      <c r="F68" s="72"/>
      <c r="G68" s="72"/>
      <c r="H68" s="72"/>
      <c r="I68" s="72"/>
      <c r="J68" s="72"/>
      <c r="K68" s="72"/>
      <c r="L68" s="72"/>
      <c r="M68" s="72"/>
      <c r="N68" s="72"/>
      <c r="O68" s="72"/>
    </row>
    <row r="69" spans="1:20" ht="14" customHeight="1" thickBot="1" x14ac:dyDescent="0.3">
      <c r="A69" s="54"/>
      <c r="B69" s="89" t="s">
        <v>199</v>
      </c>
      <c r="C69" s="71"/>
      <c r="D69" s="481">
        <f>SUM(D70:D74)</f>
        <v>0</v>
      </c>
      <c r="E69" s="482">
        <f>SUM(E70:E74)</f>
        <v>0</v>
      </c>
      <c r="F69" s="481">
        <f t="shared" ref="F69:N69" si="9">SUM(F70:F74)</f>
        <v>0</v>
      </c>
      <c r="G69" s="482">
        <f t="shared" si="9"/>
        <v>0</v>
      </c>
      <c r="H69" s="481">
        <f t="shared" si="9"/>
        <v>0</v>
      </c>
      <c r="I69" s="482">
        <f t="shared" si="9"/>
        <v>0</v>
      </c>
      <c r="J69" s="481">
        <f t="shared" si="9"/>
        <v>0</v>
      </c>
      <c r="K69" s="482">
        <f t="shared" si="9"/>
        <v>0</v>
      </c>
      <c r="L69" s="481">
        <f t="shared" si="9"/>
        <v>0</v>
      </c>
      <c r="M69" s="482">
        <f t="shared" si="9"/>
        <v>0</v>
      </c>
      <c r="N69" s="481">
        <f t="shared" si="9"/>
        <v>0</v>
      </c>
      <c r="O69" s="482">
        <f>SUM(O70:O74)</f>
        <v>0</v>
      </c>
      <c r="Q69" s="526">
        <f>SUM(D69:O69)-('Saisie plan de financement'!D115+'Saisie plan de financement'!D114)</f>
        <v>-8393.0771977446675</v>
      </c>
      <c r="R69" s="82" t="s">
        <v>270</v>
      </c>
      <c r="S69" s="82"/>
    </row>
    <row r="70" spans="1:20" ht="14" customHeight="1" x14ac:dyDescent="0.25">
      <c r="A70" s="54"/>
      <c r="B70" s="87" t="s">
        <v>193</v>
      </c>
      <c r="C70" s="73"/>
      <c r="D70" s="484"/>
      <c r="E70" s="485"/>
      <c r="F70" s="485"/>
      <c r="G70" s="485"/>
      <c r="H70" s="485"/>
      <c r="I70" s="485"/>
      <c r="J70" s="485"/>
      <c r="K70" s="485"/>
      <c r="L70" s="485"/>
      <c r="M70" s="485"/>
      <c r="N70" s="485"/>
      <c r="O70" s="486"/>
      <c r="Q70" s="527"/>
    </row>
    <row r="71" spans="1:20" ht="14" customHeight="1" x14ac:dyDescent="0.25">
      <c r="A71" s="54"/>
      <c r="B71" s="33" t="s">
        <v>194</v>
      </c>
      <c r="C71" s="71"/>
      <c r="D71" s="484"/>
      <c r="E71" s="485"/>
      <c r="F71" s="485"/>
      <c r="G71" s="485"/>
      <c r="H71" s="485"/>
      <c r="I71" s="485"/>
      <c r="J71" s="485"/>
      <c r="K71" s="485"/>
      <c r="L71" s="485"/>
      <c r="M71" s="485"/>
      <c r="N71" s="485"/>
      <c r="O71" s="486"/>
      <c r="Q71" s="527"/>
    </row>
    <row r="72" spans="1:20" ht="14" customHeight="1" x14ac:dyDescent="0.25">
      <c r="A72" s="54"/>
      <c r="B72" s="33" t="s">
        <v>195</v>
      </c>
      <c r="C72" s="74"/>
      <c r="D72" s="484"/>
      <c r="E72" s="485"/>
      <c r="F72" s="485"/>
      <c r="G72" s="485"/>
      <c r="H72" s="485"/>
      <c r="I72" s="485"/>
      <c r="J72" s="485"/>
      <c r="K72" s="485"/>
      <c r="L72" s="485"/>
      <c r="M72" s="485"/>
      <c r="N72" s="485"/>
      <c r="O72" s="486"/>
      <c r="Q72" s="527"/>
    </row>
    <row r="73" spans="1:20" ht="12.5" x14ac:dyDescent="0.25">
      <c r="A73" s="54"/>
      <c r="B73" s="33" t="s">
        <v>156</v>
      </c>
      <c r="C73" s="71"/>
      <c r="D73" s="484"/>
      <c r="E73" s="485"/>
      <c r="F73" s="485"/>
      <c r="G73" s="485"/>
      <c r="H73" s="485"/>
      <c r="I73" s="485"/>
      <c r="J73" s="485"/>
      <c r="K73" s="485"/>
      <c r="L73" s="485"/>
      <c r="M73" s="485"/>
      <c r="N73" s="485"/>
      <c r="O73" s="486"/>
      <c r="Q73" s="527"/>
    </row>
    <row r="74" spans="1:20" ht="13" thickBot="1" x14ac:dyDescent="0.3">
      <c r="A74" s="54"/>
      <c r="B74" s="60" t="s">
        <v>97</v>
      </c>
      <c r="C74" s="71"/>
      <c r="D74" s="487"/>
      <c r="E74" s="488"/>
      <c r="F74" s="488"/>
      <c r="G74" s="488"/>
      <c r="H74" s="488"/>
      <c r="I74" s="488"/>
      <c r="J74" s="488"/>
      <c r="K74" s="488"/>
      <c r="L74" s="488"/>
      <c r="M74" s="488"/>
      <c r="N74" s="488"/>
      <c r="O74" s="489"/>
      <c r="Q74" s="527"/>
    </row>
    <row r="75" spans="1:20" ht="15" customHeight="1" thickBot="1" x14ac:dyDescent="0.3">
      <c r="B75" s="85"/>
      <c r="E75" s="86"/>
      <c r="F75" s="86"/>
      <c r="G75" s="86"/>
      <c r="H75" s="86"/>
      <c r="I75" s="86"/>
      <c r="J75" s="86"/>
      <c r="K75" s="86"/>
      <c r="L75" s="86"/>
      <c r="M75" s="86"/>
      <c r="N75" s="86"/>
      <c r="O75" s="86"/>
      <c r="P75" s="79"/>
      <c r="Q75" s="527"/>
    </row>
    <row r="76" spans="1:20" ht="13" thickBot="1" x14ac:dyDescent="0.3">
      <c r="A76" s="54"/>
      <c r="B76" s="89" t="s">
        <v>11</v>
      </c>
      <c r="C76" s="71"/>
      <c r="D76" s="518">
        <f t="shared" ref="D76:O76" si="10">SUM(D77:D79)</f>
        <v>0</v>
      </c>
      <c r="E76" s="519">
        <f t="shared" si="10"/>
        <v>0</v>
      </c>
      <c r="F76" s="519">
        <f t="shared" si="10"/>
        <v>0</v>
      </c>
      <c r="G76" s="519">
        <f t="shared" si="10"/>
        <v>0</v>
      </c>
      <c r="H76" s="519">
        <f t="shared" si="10"/>
        <v>0</v>
      </c>
      <c r="I76" s="519">
        <f t="shared" si="10"/>
        <v>0</v>
      </c>
      <c r="J76" s="519">
        <f t="shared" si="10"/>
        <v>0</v>
      </c>
      <c r="K76" s="519">
        <f t="shared" si="10"/>
        <v>0</v>
      </c>
      <c r="L76" s="519">
        <f t="shared" si="10"/>
        <v>0</v>
      </c>
      <c r="M76" s="519">
        <f t="shared" si="10"/>
        <v>0</v>
      </c>
      <c r="N76" s="519">
        <f t="shared" si="10"/>
        <v>0</v>
      </c>
      <c r="O76" s="520">
        <f t="shared" si="10"/>
        <v>0</v>
      </c>
      <c r="Q76" s="526">
        <f>SUM(D76:O76)-('Saisie plan de financement'!D112)</f>
        <v>0</v>
      </c>
      <c r="R76" s="82" t="s">
        <v>270</v>
      </c>
      <c r="S76" s="82"/>
    </row>
    <row r="77" spans="1:20" ht="12.5" x14ac:dyDescent="0.25">
      <c r="A77" s="54"/>
      <c r="B77" s="59" t="s">
        <v>196</v>
      </c>
      <c r="C77" s="71"/>
      <c r="D77" s="521"/>
      <c r="E77" s="485"/>
      <c r="F77" s="485"/>
      <c r="G77" s="485"/>
      <c r="H77" s="485"/>
      <c r="I77" s="485"/>
      <c r="J77" s="485"/>
      <c r="K77" s="485"/>
      <c r="L77" s="485"/>
      <c r="M77" s="485"/>
      <c r="N77" s="485"/>
      <c r="O77" s="522"/>
      <c r="Q77" s="527"/>
    </row>
    <row r="78" spans="1:20" ht="12.5" x14ac:dyDescent="0.25">
      <c r="A78" s="54"/>
      <c r="B78" s="33" t="s">
        <v>197</v>
      </c>
      <c r="C78" s="71"/>
      <c r="D78" s="521"/>
      <c r="E78" s="485"/>
      <c r="F78" s="485"/>
      <c r="G78" s="485"/>
      <c r="H78" s="485"/>
      <c r="I78" s="485"/>
      <c r="J78" s="485"/>
      <c r="K78" s="485"/>
      <c r="L78" s="485"/>
      <c r="M78" s="485"/>
      <c r="N78" s="485"/>
      <c r="O78" s="522"/>
    </row>
    <row r="79" spans="1:20" ht="13" thickBot="1" x14ac:dyDescent="0.3">
      <c r="A79" s="54"/>
      <c r="B79" s="60" t="s">
        <v>198</v>
      </c>
      <c r="C79" s="71"/>
      <c r="D79" s="523"/>
      <c r="E79" s="524"/>
      <c r="F79" s="524"/>
      <c r="G79" s="524"/>
      <c r="H79" s="524"/>
      <c r="I79" s="524"/>
      <c r="J79" s="524"/>
      <c r="K79" s="524"/>
      <c r="L79" s="524"/>
      <c r="M79" s="524"/>
      <c r="N79" s="524"/>
      <c r="O79" s="525"/>
    </row>
    <row r="80" spans="1:20" ht="15" customHeight="1" thickBot="1" x14ac:dyDescent="0.3">
      <c r="B80" s="85"/>
      <c r="E80" s="86"/>
      <c r="F80" s="86"/>
      <c r="G80" s="86"/>
      <c r="H80" s="86"/>
      <c r="I80" s="86"/>
      <c r="J80" s="86"/>
      <c r="K80" s="86"/>
      <c r="L80" s="86"/>
      <c r="M80" s="86"/>
      <c r="N80" s="86"/>
      <c r="O80" s="86"/>
      <c r="P80" s="79"/>
    </row>
    <row r="81" spans="1:19" ht="15" customHeight="1" thickBot="1" x14ac:dyDescent="0.3">
      <c r="A81" s="56"/>
      <c r="B81" s="462" t="s">
        <v>205</v>
      </c>
      <c r="C81" s="127"/>
      <c r="D81" s="463">
        <f>D76+D69</f>
        <v>0</v>
      </c>
      <c r="E81" s="464">
        <f t="shared" ref="E81:O81" si="11">E76+E69</f>
        <v>0</v>
      </c>
      <c r="F81" s="464">
        <f t="shared" si="11"/>
        <v>0</v>
      </c>
      <c r="G81" s="464">
        <f t="shared" si="11"/>
        <v>0</v>
      </c>
      <c r="H81" s="464">
        <f t="shared" si="11"/>
        <v>0</v>
      </c>
      <c r="I81" s="464">
        <f t="shared" si="11"/>
        <v>0</v>
      </c>
      <c r="J81" s="464">
        <f t="shared" si="11"/>
        <v>0</v>
      </c>
      <c r="K81" s="464">
        <f t="shared" si="11"/>
        <v>0</v>
      </c>
      <c r="L81" s="464">
        <f t="shared" si="11"/>
        <v>0</v>
      </c>
      <c r="M81" s="464">
        <f t="shared" si="11"/>
        <v>0</v>
      </c>
      <c r="N81" s="464">
        <f t="shared" si="11"/>
        <v>0</v>
      </c>
      <c r="O81" s="465">
        <f t="shared" si="11"/>
        <v>0</v>
      </c>
      <c r="Q81" s="334" t="s">
        <v>343</v>
      </c>
    </row>
    <row r="82" spans="1:19" ht="15" customHeight="1" thickBot="1" x14ac:dyDescent="0.3">
      <c r="B82" s="85"/>
      <c r="E82" s="86"/>
      <c r="F82" s="86"/>
      <c r="G82" s="86"/>
      <c r="H82" s="86"/>
      <c r="I82" s="86"/>
      <c r="J82" s="86"/>
      <c r="K82" s="86"/>
      <c r="L82" s="86"/>
      <c r="M82" s="86"/>
      <c r="N82" s="86"/>
      <c r="O82" s="86"/>
      <c r="P82" s="79"/>
    </row>
    <row r="83" spans="1:19" ht="15" customHeight="1" thickBot="1" x14ac:dyDescent="0.3">
      <c r="A83" s="1"/>
      <c r="B83" s="90" t="s">
        <v>216</v>
      </c>
      <c r="C83" s="73"/>
      <c r="D83" s="481">
        <f>SUM(D84:D90)</f>
        <v>0</v>
      </c>
      <c r="E83" s="482">
        <f t="shared" ref="E83:O83" si="12">SUM(E84:E90)</f>
        <v>15000</v>
      </c>
      <c r="F83" s="482">
        <f t="shared" si="12"/>
        <v>15000</v>
      </c>
      <c r="G83" s="482">
        <f t="shared" si="12"/>
        <v>15000</v>
      </c>
      <c r="H83" s="482">
        <f t="shared" si="12"/>
        <v>65000</v>
      </c>
      <c r="I83" s="482">
        <f t="shared" si="12"/>
        <v>15000</v>
      </c>
      <c r="J83" s="482">
        <f t="shared" si="12"/>
        <v>15000</v>
      </c>
      <c r="K83" s="482">
        <f t="shared" si="12"/>
        <v>165000</v>
      </c>
      <c r="L83" s="482">
        <f t="shared" si="12"/>
        <v>15000</v>
      </c>
      <c r="M83" s="482">
        <f t="shared" si="12"/>
        <v>0</v>
      </c>
      <c r="N83" s="482">
        <f t="shared" si="12"/>
        <v>0</v>
      </c>
      <c r="O83" s="483">
        <f t="shared" si="12"/>
        <v>0</v>
      </c>
      <c r="P83" s="83"/>
      <c r="Q83" s="526">
        <f>SUM(D83:O83)-'Saisie budget prévisionnel'!E67</f>
        <v>258911.36141038197</v>
      </c>
      <c r="R83" s="82" t="s">
        <v>236</v>
      </c>
      <c r="S83" s="82"/>
    </row>
    <row r="84" spans="1:19" ht="15" customHeight="1" x14ac:dyDescent="0.25">
      <c r="A84" s="1"/>
      <c r="B84" s="59" t="s">
        <v>82</v>
      </c>
      <c r="C84" s="73"/>
      <c r="D84" s="484"/>
      <c r="E84" s="485">
        <v>15000</v>
      </c>
      <c r="F84" s="485">
        <v>15000</v>
      </c>
      <c r="G84" s="485">
        <v>15000</v>
      </c>
      <c r="H84" s="485">
        <v>15000</v>
      </c>
      <c r="I84" s="485">
        <v>15000</v>
      </c>
      <c r="J84" s="485">
        <v>15000</v>
      </c>
      <c r="K84" s="485">
        <v>15000</v>
      </c>
      <c r="L84" s="485">
        <v>15000</v>
      </c>
      <c r="M84" s="485"/>
      <c r="N84" s="485"/>
      <c r="O84" s="486"/>
      <c r="P84" s="83"/>
      <c r="Q84" s="83"/>
    </row>
    <row r="85" spans="1:19" ht="15" customHeight="1" x14ac:dyDescent="0.25">
      <c r="A85" s="1"/>
      <c r="B85" s="33" t="s">
        <v>83</v>
      </c>
      <c r="C85" s="73"/>
      <c r="D85" s="484"/>
      <c r="E85" s="485"/>
      <c r="F85" s="485"/>
      <c r="G85" s="485"/>
      <c r="H85" s="485">
        <v>50000</v>
      </c>
      <c r="I85" s="485"/>
      <c r="J85" s="485"/>
      <c r="K85" s="485"/>
      <c r="L85" s="485"/>
      <c r="M85" s="485"/>
      <c r="N85" s="485"/>
      <c r="O85" s="486"/>
      <c r="P85" s="83"/>
      <c r="Q85" s="83"/>
    </row>
    <row r="86" spans="1:19" ht="15" customHeight="1" x14ac:dyDescent="0.25">
      <c r="A86" s="1"/>
      <c r="B86" s="33" t="s">
        <v>84</v>
      </c>
      <c r="C86" s="73"/>
      <c r="D86" s="484"/>
      <c r="E86" s="485"/>
      <c r="F86" s="485"/>
      <c r="G86" s="485"/>
      <c r="H86" s="485"/>
      <c r="I86" s="485"/>
      <c r="J86" s="485"/>
      <c r="K86" s="485">
        <v>150000</v>
      </c>
      <c r="L86" s="485"/>
      <c r="M86" s="485"/>
      <c r="N86" s="485"/>
      <c r="O86" s="486"/>
      <c r="P86" s="83"/>
      <c r="Q86" s="83"/>
    </row>
    <row r="87" spans="1:19" ht="15" customHeight="1" x14ac:dyDescent="0.25">
      <c r="A87" s="1"/>
      <c r="B87" s="33" t="s">
        <v>94</v>
      </c>
      <c r="C87" s="73"/>
      <c r="D87" s="484"/>
      <c r="E87" s="485"/>
      <c r="F87" s="485"/>
      <c r="G87" s="485"/>
      <c r="H87" s="485"/>
      <c r="I87" s="485"/>
      <c r="J87" s="485"/>
      <c r="K87" s="485"/>
      <c r="L87" s="485"/>
      <c r="M87" s="485"/>
      <c r="N87" s="485"/>
      <c r="O87" s="486"/>
      <c r="P87" s="83"/>
      <c r="Q87" s="83"/>
    </row>
    <row r="88" spans="1:19" ht="15" customHeight="1" x14ac:dyDescent="0.25">
      <c r="A88" s="1"/>
      <c r="B88" s="33" t="s">
        <v>95</v>
      </c>
      <c r="C88" s="73"/>
      <c r="D88" s="484"/>
      <c r="E88" s="485"/>
      <c r="F88" s="485"/>
      <c r="G88" s="485"/>
      <c r="H88" s="485"/>
      <c r="I88" s="485"/>
      <c r="J88" s="485"/>
      <c r="K88" s="485"/>
      <c r="L88" s="485"/>
      <c r="M88" s="485"/>
      <c r="N88" s="485"/>
      <c r="O88" s="486"/>
      <c r="P88" s="83"/>
      <c r="Q88" s="83"/>
    </row>
    <row r="89" spans="1:19" ht="15" customHeight="1" x14ac:dyDescent="0.25">
      <c r="A89" s="1"/>
      <c r="B89" s="33" t="s">
        <v>155</v>
      </c>
      <c r="C89" s="73"/>
      <c r="D89" s="484"/>
      <c r="E89" s="485"/>
      <c r="F89" s="485"/>
      <c r="G89" s="485"/>
      <c r="H89" s="485"/>
      <c r="I89" s="485"/>
      <c r="J89" s="485"/>
      <c r="K89" s="485"/>
      <c r="L89" s="485"/>
      <c r="M89" s="485"/>
      <c r="N89" s="485"/>
      <c r="O89" s="486"/>
      <c r="P89" s="83"/>
      <c r="Q89" s="83"/>
    </row>
    <row r="90" spans="1:19" ht="15" customHeight="1" thickBot="1" x14ac:dyDescent="0.3">
      <c r="A90" s="1"/>
      <c r="B90" s="60" t="s">
        <v>155</v>
      </c>
      <c r="C90" s="73"/>
      <c r="D90" s="487"/>
      <c r="E90" s="488"/>
      <c r="F90" s="488"/>
      <c r="G90" s="488"/>
      <c r="H90" s="488"/>
      <c r="I90" s="488"/>
      <c r="J90" s="488"/>
      <c r="K90" s="488"/>
      <c r="L90" s="488"/>
      <c r="M90" s="488"/>
      <c r="N90" s="488"/>
      <c r="O90" s="489"/>
      <c r="P90" s="83"/>
      <c r="Q90" s="83"/>
    </row>
    <row r="91" spans="1:19" ht="15" customHeight="1" thickBot="1" x14ac:dyDescent="0.3">
      <c r="B91" s="85"/>
      <c r="E91" s="86"/>
      <c r="F91" s="86"/>
      <c r="G91" s="86"/>
      <c r="H91" s="86"/>
      <c r="I91" s="86"/>
      <c r="J91" s="86"/>
      <c r="K91" s="86"/>
      <c r="L91" s="86"/>
      <c r="M91" s="86"/>
      <c r="N91" s="86"/>
      <c r="O91" s="86"/>
      <c r="P91" s="79"/>
    </row>
    <row r="92" spans="1:19" ht="15" customHeight="1" x14ac:dyDescent="0.25">
      <c r="A92" s="50"/>
      <c r="B92" s="91" t="s">
        <v>200</v>
      </c>
      <c r="C92" s="73"/>
      <c r="D92" s="481">
        <f>SUM(D93:D96)</f>
        <v>0</v>
      </c>
      <c r="E92" s="482">
        <f t="shared" ref="E92:O92" si="13">SUM(E93:E96)</f>
        <v>0</v>
      </c>
      <c r="F92" s="482">
        <f t="shared" si="13"/>
        <v>0</v>
      </c>
      <c r="G92" s="482">
        <f t="shared" si="13"/>
        <v>0</v>
      </c>
      <c r="H92" s="482">
        <f t="shared" si="13"/>
        <v>0</v>
      </c>
      <c r="I92" s="482">
        <f t="shared" si="13"/>
        <v>0</v>
      </c>
      <c r="J92" s="482">
        <f t="shared" si="13"/>
        <v>30000</v>
      </c>
      <c r="K92" s="482">
        <f t="shared" si="13"/>
        <v>0</v>
      </c>
      <c r="L92" s="482">
        <f t="shared" si="13"/>
        <v>0</v>
      </c>
      <c r="M92" s="482">
        <f t="shared" si="13"/>
        <v>0</v>
      </c>
      <c r="N92" s="482">
        <f t="shared" si="13"/>
        <v>0</v>
      </c>
      <c r="O92" s="483">
        <f t="shared" si="13"/>
        <v>0</v>
      </c>
      <c r="P92" s="84"/>
      <c r="Q92" s="526">
        <f>SUM(D92:O92)-'Saisie budget prévisionnel'!E69</f>
        <v>28500</v>
      </c>
      <c r="R92" s="82" t="s">
        <v>236</v>
      </c>
    </row>
    <row r="93" spans="1:19" ht="15" customHeight="1" x14ac:dyDescent="0.25">
      <c r="A93" s="50"/>
      <c r="B93" s="33" t="s">
        <v>81</v>
      </c>
      <c r="C93" s="73"/>
      <c r="D93" s="484"/>
      <c r="E93" s="485"/>
      <c r="F93" s="485"/>
      <c r="G93" s="485"/>
      <c r="H93" s="485"/>
      <c r="I93" s="485"/>
      <c r="J93" s="485"/>
      <c r="K93" s="485"/>
      <c r="L93" s="485"/>
      <c r="M93" s="485"/>
      <c r="N93" s="485"/>
      <c r="O93" s="486"/>
      <c r="P93" s="83"/>
      <c r="Q93" s="83"/>
    </row>
    <row r="94" spans="1:19" ht="15" customHeight="1" x14ac:dyDescent="0.25">
      <c r="A94" s="51"/>
      <c r="B94" s="33" t="s">
        <v>85</v>
      </c>
      <c r="C94" s="71"/>
      <c r="D94" s="484"/>
      <c r="E94" s="485"/>
      <c r="F94" s="485"/>
      <c r="G94" s="485"/>
      <c r="H94" s="485"/>
      <c r="I94" s="485"/>
      <c r="J94" s="485">
        <v>30000</v>
      </c>
      <c r="K94" s="485"/>
      <c r="L94" s="485"/>
      <c r="M94" s="485"/>
      <c r="N94" s="485"/>
      <c r="O94" s="486"/>
    </row>
    <row r="95" spans="1:19" ht="12.5" x14ac:dyDescent="0.25">
      <c r="A95" s="50"/>
      <c r="B95" s="33" t="s">
        <v>8</v>
      </c>
      <c r="C95" s="71"/>
      <c r="D95" s="484"/>
      <c r="E95" s="485"/>
      <c r="F95" s="485"/>
      <c r="G95" s="485"/>
      <c r="H95" s="485"/>
      <c r="I95" s="485"/>
      <c r="J95" s="485"/>
      <c r="K95" s="485"/>
      <c r="L95" s="485"/>
      <c r="M95" s="485"/>
      <c r="N95" s="485"/>
      <c r="O95" s="486"/>
    </row>
    <row r="96" spans="1:19" ht="15" customHeight="1" thickBot="1" x14ac:dyDescent="0.3">
      <c r="A96" s="50"/>
      <c r="B96" s="60" t="s">
        <v>86</v>
      </c>
      <c r="C96" s="73"/>
      <c r="D96" s="487"/>
      <c r="E96" s="488"/>
      <c r="F96" s="488"/>
      <c r="G96" s="488"/>
      <c r="H96" s="488"/>
      <c r="I96" s="488"/>
      <c r="J96" s="488"/>
      <c r="K96" s="488"/>
      <c r="L96" s="488"/>
      <c r="M96" s="488"/>
      <c r="N96" s="488"/>
      <c r="O96" s="489"/>
    </row>
    <row r="97" spans="1:18" ht="15" customHeight="1" thickBot="1" x14ac:dyDescent="0.3">
      <c r="B97" s="85"/>
      <c r="E97" s="86"/>
      <c r="F97" s="86"/>
      <c r="G97" s="86"/>
      <c r="H97" s="86"/>
      <c r="I97" s="86"/>
      <c r="J97" s="86"/>
      <c r="K97" s="86"/>
      <c r="L97" s="86"/>
      <c r="M97" s="86"/>
      <c r="N97" s="86"/>
      <c r="O97" s="86"/>
      <c r="P97" s="79"/>
    </row>
    <row r="98" spans="1:18" ht="15" customHeight="1" x14ac:dyDescent="0.25">
      <c r="A98" s="9"/>
      <c r="B98" s="91" t="s">
        <v>202</v>
      </c>
      <c r="C98" s="73"/>
      <c r="D98" s="481">
        <f>SUM(D99:D102)</f>
        <v>0</v>
      </c>
      <c r="E98" s="482">
        <f t="shared" ref="E98:O98" si="14">SUM(E99:E102)</f>
        <v>0</v>
      </c>
      <c r="F98" s="482">
        <f t="shared" si="14"/>
        <v>0</v>
      </c>
      <c r="G98" s="482">
        <f t="shared" si="14"/>
        <v>0</v>
      </c>
      <c r="H98" s="482">
        <f t="shared" si="14"/>
        <v>0</v>
      </c>
      <c r="I98" s="482">
        <f t="shared" si="14"/>
        <v>0</v>
      </c>
      <c r="J98" s="482">
        <f t="shared" si="14"/>
        <v>0</v>
      </c>
      <c r="K98" s="482">
        <f t="shared" si="14"/>
        <v>0</v>
      </c>
      <c r="L98" s="482">
        <f t="shared" si="14"/>
        <v>0</v>
      </c>
      <c r="M98" s="482">
        <f t="shared" si="14"/>
        <v>0</v>
      </c>
      <c r="N98" s="482">
        <f t="shared" si="14"/>
        <v>0</v>
      </c>
      <c r="O98" s="483">
        <f t="shared" si="14"/>
        <v>0</v>
      </c>
      <c r="Q98" s="526">
        <f>SUM(D98:O98)-('Saisie budget prévisionnel'!E68+'Saisie budget prévisionnel'!E70+'Saisie budget prévisionnel'!E71+'Saisie budget prévisionnel'!E74)</f>
        <v>-10500</v>
      </c>
      <c r="R98" s="82" t="s">
        <v>236</v>
      </c>
    </row>
    <row r="99" spans="1:18" ht="15" customHeight="1" x14ac:dyDescent="0.25">
      <c r="A99" s="9"/>
      <c r="B99" s="93" t="s">
        <v>201</v>
      </c>
      <c r="C99" s="73"/>
      <c r="D99" s="484"/>
      <c r="E99" s="485"/>
      <c r="F99" s="485"/>
      <c r="G99" s="485"/>
      <c r="H99" s="485"/>
      <c r="I99" s="485"/>
      <c r="J99" s="485"/>
      <c r="K99" s="485"/>
      <c r="L99" s="485"/>
      <c r="M99" s="485"/>
      <c r="N99" s="485"/>
      <c r="O99" s="486"/>
    </row>
    <row r="100" spans="1:18" ht="15" customHeight="1" x14ac:dyDescent="0.25">
      <c r="A100" s="9"/>
      <c r="B100" s="26" t="s">
        <v>87</v>
      </c>
      <c r="C100" s="73"/>
      <c r="D100" s="484"/>
      <c r="E100" s="485"/>
      <c r="F100" s="485"/>
      <c r="G100" s="485"/>
      <c r="H100" s="485"/>
      <c r="I100" s="485"/>
      <c r="J100" s="485"/>
      <c r="K100" s="485"/>
      <c r="L100" s="485"/>
      <c r="M100" s="485"/>
      <c r="N100" s="485"/>
      <c r="O100" s="486"/>
    </row>
    <row r="101" spans="1:18" ht="23.75" customHeight="1" x14ac:dyDescent="0.25">
      <c r="A101" s="9"/>
      <c r="B101" s="92" t="s">
        <v>108</v>
      </c>
      <c r="C101" s="73"/>
      <c r="D101" s="484"/>
      <c r="E101" s="485"/>
      <c r="F101" s="485"/>
      <c r="G101" s="485"/>
      <c r="H101" s="485"/>
      <c r="I101" s="485"/>
      <c r="J101" s="485"/>
      <c r="K101" s="485"/>
      <c r="L101" s="485"/>
      <c r="M101" s="485"/>
      <c r="N101" s="485"/>
      <c r="O101" s="486"/>
    </row>
    <row r="102" spans="1:18" ht="15" customHeight="1" thickBot="1" x14ac:dyDescent="0.3">
      <c r="A102" s="9"/>
      <c r="B102" s="60" t="s">
        <v>204</v>
      </c>
      <c r="C102" s="73"/>
      <c r="D102" s="487"/>
      <c r="E102" s="488"/>
      <c r="F102" s="488"/>
      <c r="G102" s="488"/>
      <c r="H102" s="488"/>
      <c r="I102" s="488"/>
      <c r="J102" s="488"/>
      <c r="K102" s="488"/>
      <c r="L102" s="488"/>
      <c r="M102" s="488"/>
      <c r="N102" s="488"/>
      <c r="O102" s="489"/>
    </row>
    <row r="103" spans="1:18" ht="15" customHeight="1" thickBot="1" x14ac:dyDescent="0.3">
      <c r="B103" s="85"/>
      <c r="E103" s="86"/>
      <c r="F103" s="86"/>
      <c r="G103" s="86"/>
      <c r="H103" s="86"/>
      <c r="I103" s="86"/>
      <c r="J103" s="86"/>
      <c r="K103" s="86"/>
      <c r="L103" s="86"/>
      <c r="M103" s="86"/>
      <c r="N103" s="86"/>
      <c r="O103" s="86"/>
      <c r="P103" s="79"/>
    </row>
    <row r="104" spans="1:18" ht="15" customHeight="1" x14ac:dyDescent="0.25">
      <c r="A104" s="9"/>
      <c r="B104" s="91" t="s">
        <v>109</v>
      </c>
      <c r="C104" s="73"/>
      <c r="D104" s="481">
        <f>SUM(D105:D109)</f>
        <v>0</v>
      </c>
      <c r="E104" s="482">
        <f t="shared" ref="E104:O104" si="15">SUM(E105:E109)</f>
        <v>0</v>
      </c>
      <c r="F104" s="482">
        <f t="shared" si="15"/>
        <v>0</v>
      </c>
      <c r="G104" s="482">
        <f t="shared" si="15"/>
        <v>0</v>
      </c>
      <c r="H104" s="482">
        <f t="shared" si="15"/>
        <v>0</v>
      </c>
      <c r="I104" s="482">
        <f t="shared" si="15"/>
        <v>0</v>
      </c>
      <c r="J104" s="482">
        <f t="shared" si="15"/>
        <v>0</v>
      </c>
      <c r="K104" s="482">
        <f t="shared" si="15"/>
        <v>0</v>
      </c>
      <c r="L104" s="482">
        <f t="shared" si="15"/>
        <v>0</v>
      </c>
      <c r="M104" s="482">
        <f t="shared" si="15"/>
        <v>0</v>
      </c>
      <c r="N104" s="482">
        <f t="shared" si="15"/>
        <v>0</v>
      </c>
      <c r="O104" s="483">
        <f t="shared" si="15"/>
        <v>0</v>
      </c>
      <c r="Q104" s="526"/>
      <c r="R104" s="82"/>
    </row>
    <row r="105" spans="1:18" ht="15" customHeight="1" x14ac:dyDescent="0.25">
      <c r="A105" s="9"/>
      <c r="B105" s="94" t="s">
        <v>210</v>
      </c>
      <c r="C105" s="73"/>
      <c r="D105" s="484"/>
      <c r="E105" s="485"/>
      <c r="F105" s="485"/>
      <c r="G105" s="485"/>
      <c r="H105" s="485"/>
      <c r="I105" s="485"/>
      <c r="J105" s="485"/>
      <c r="K105" s="485"/>
      <c r="L105" s="485"/>
      <c r="M105" s="485"/>
      <c r="N105" s="485"/>
      <c r="O105" s="486"/>
    </row>
    <row r="106" spans="1:18" ht="15" customHeight="1" x14ac:dyDescent="0.25">
      <c r="A106" s="9"/>
      <c r="B106" s="94" t="s">
        <v>217</v>
      </c>
      <c r="C106" s="73"/>
      <c r="D106" s="484"/>
      <c r="E106" s="485"/>
      <c r="F106" s="485"/>
      <c r="G106" s="485"/>
      <c r="H106" s="485"/>
      <c r="I106" s="485"/>
      <c r="J106" s="485"/>
      <c r="K106" s="485"/>
      <c r="L106" s="485"/>
      <c r="M106" s="485"/>
      <c r="N106" s="485"/>
      <c r="O106" s="486"/>
    </row>
    <row r="107" spans="1:18" ht="15" customHeight="1" x14ac:dyDescent="0.25">
      <c r="A107" s="9"/>
      <c r="B107" s="93" t="s">
        <v>203</v>
      </c>
      <c r="C107" s="73"/>
      <c r="D107" s="484"/>
      <c r="E107" s="485"/>
      <c r="F107" s="485"/>
      <c r="G107" s="485"/>
      <c r="H107" s="485"/>
      <c r="I107" s="485"/>
      <c r="J107" s="485"/>
      <c r="K107" s="485"/>
      <c r="L107" s="485"/>
      <c r="M107" s="485"/>
      <c r="N107" s="485"/>
      <c r="O107" s="486"/>
    </row>
    <row r="108" spans="1:18" ht="15" customHeight="1" x14ac:dyDescent="0.25">
      <c r="A108" s="9"/>
      <c r="B108" s="93" t="s">
        <v>203</v>
      </c>
      <c r="C108" s="73"/>
      <c r="D108" s="484"/>
      <c r="E108" s="485"/>
      <c r="F108" s="485"/>
      <c r="G108" s="485"/>
      <c r="H108" s="485"/>
      <c r="I108" s="485"/>
      <c r="J108" s="485"/>
      <c r="K108" s="485"/>
      <c r="L108" s="485"/>
      <c r="M108" s="485"/>
      <c r="N108" s="485"/>
      <c r="O108" s="486"/>
    </row>
    <row r="109" spans="1:18" ht="15" customHeight="1" thickBot="1" x14ac:dyDescent="0.3">
      <c r="A109" s="9"/>
      <c r="B109" s="60" t="s">
        <v>96</v>
      </c>
      <c r="C109" s="73"/>
      <c r="D109" s="487"/>
      <c r="E109" s="488"/>
      <c r="F109" s="488"/>
      <c r="G109" s="488"/>
      <c r="H109" s="488"/>
      <c r="I109" s="488"/>
      <c r="J109" s="488"/>
      <c r="K109" s="488"/>
      <c r="L109" s="488"/>
      <c r="M109" s="488"/>
      <c r="N109" s="488"/>
      <c r="O109" s="489"/>
    </row>
    <row r="110" spans="1:18" ht="15" customHeight="1" thickBot="1" x14ac:dyDescent="0.3">
      <c r="B110" s="85"/>
      <c r="E110" s="86"/>
      <c r="F110" s="86"/>
      <c r="G110" s="86"/>
      <c r="H110" s="86"/>
      <c r="I110" s="86"/>
      <c r="J110" s="86"/>
      <c r="K110" s="86"/>
      <c r="L110" s="86"/>
      <c r="M110" s="86"/>
      <c r="N110" s="86"/>
      <c r="O110" s="86"/>
      <c r="P110" s="79"/>
    </row>
    <row r="111" spans="1:18" ht="15" customHeight="1" thickBot="1" x14ac:dyDescent="0.3">
      <c r="A111" s="56"/>
      <c r="B111" s="462" t="s">
        <v>206</v>
      </c>
      <c r="C111" s="127"/>
      <c r="D111" s="463">
        <f>D104+D98+D92+D83</f>
        <v>0</v>
      </c>
      <c r="E111" s="464">
        <f t="shared" ref="E111:O111" si="16">E104+E98+E92+E83</f>
        <v>15000</v>
      </c>
      <c r="F111" s="464">
        <f t="shared" si="16"/>
        <v>15000</v>
      </c>
      <c r="G111" s="464">
        <f t="shared" si="16"/>
        <v>15000</v>
      </c>
      <c r="H111" s="464">
        <f t="shared" si="16"/>
        <v>65000</v>
      </c>
      <c r="I111" s="464">
        <f t="shared" si="16"/>
        <v>15000</v>
      </c>
      <c r="J111" s="464">
        <f t="shared" si="16"/>
        <v>45000</v>
      </c>
      <c r="K111" s="464">
        <f t="shared" si="16"/>
        <v>165000</v>
      </c>
      <c r="L111" s="464">
        <f t="shared" si="16"/>
        <v>15000</v>
      </c>
      <c r="M111" s="464">
        <f t="shared" si="16"/>
        <v>0</v>
      </c>
      <c r="N111" s="464">
        <f t="shared" si="16"/>
        <v>0</v>
      </c>
      <c r="O111" s="465">
        <f t="shared" si="16"/>
        <v>0</v>
      </c>
    </row>
    <row r="112" spans="1:18" ht="15" customHeight="1" thickBot="1" x14ac:dyDescent="0.3">
      <c r="A112" s="55"/>
      <c r="B112" s="128" t="s">
        <v>178</v>
      </c>
      <c r="C112" s="127"/>
      <c r="D112" s="131">
        <f>D111+D81</f>
        <v>0</v>
      </c>
      <c r="E112" s="132">
        <f t="shared" ref="E112:O112" si="17">E111+E81</f>
        <v>15000</v>
      </c>
      <c r="F112" s="132">
        <f t="shared" si="17"/>
        <v>15000</v>
      </c>
      <c r="G112" s="132">
        <f t="shared" si="17"/>
        <v>15000</v>
      </c>
      <c r="H112" s="132">
        <f t="shared" si="17"/>
        <v>65000</v>
      </c>
      <c r="I112" s="132">
        <f t="shared" si="17"/>
        <v>15000</v>
      </c>
      <c r="J112" s="132">
        <f t="shared" si="17"/>
        <v>45000</v>
      </c>
      <c r="K112" s="132">
        <f t="shared" si="17"/>
        <v>165000</v>
      </c>
      <c r="L112" s="132">
        <f t="shared" si="17"/>
        <v>15000</v>
      </c>
      <c r="M112" s="132">
        <f t="shared" si="17"/>
        <v>0</v>
      </c>
      <c r="N112" s="132">
        <f t="shared" si="17"/>
        <v>0</v>
      </c>
      <c r="O112" s="133">
        <f t="shared" si="17"/>
        <v>0</v>
      </c>
    </row>
    <row r="113" spans="1:18" ht="15" customHeight="1" x14ac:dyDescent="0.25">
      <c r="B113" s="85"/>
      <c r="E113" s="86"/>
      <c r="F113" s="86"/>
      <c r="G113" s="86"/>
      <c r="H113" s="86"/>
      <c r="I113" s="86"/>
      <c r="J113" s="86"/>
      <c r="K113" s="86"/>
      <c r="L113" s="86"/>
      <c r="M113" s="86"/>
      <c r="N113" s="86"/>
      <c r="O113" s="86"/>
      <c r="P113" s="79"/>
    </row>
    <row r="114" spans="1:18" ht="15" customHeight="1" x14ac:dyDescent="0.25">
      <c r="A114" s="55"/>
      <c r="B114" s="134" t="s">
        <v>44</v>
      </c>
      <c r="C114" s="69"/>
      <c r="D114" s="136">
        <f>D67</f>
        <v>44957</v>
      </c>
      <c r="E114" s="136">
        <f t="shared" ref="E114:O114" si="18">IF(D114="","",EOMONTH(D114,1))</f>
        <v>44985</v>
      </c>
      <c r="F114" s="136">
        <f t="shared" si="18"/>
        <v>45016</v>
      </c>
      <c r="G114" s="136">
        <f t="shared" si="18"/>
        <v>45046</v>
      </c>
      <c r="H114" s="136">
        <f t="shared" si="18"/>
        <v>45077</v>
      </c>
      <c r="I114" s="136">
        <f t="shared" si="18"/>
        <v>45107</v>
      </c>
      <c r="J114" s="136">
        <f t="shared" si="18"/>
        <v>45138</v>
      </c>
      <c r="K114" s="136">
        <f t="shared" si="18"/>
        <v>45169</v>
      </c>
      <c r="L114" s="136">
        <f t="shared" si="18"/>
        <v>45199</v>
      </c>
      <c r="M114" s="136">
        <f t="shared" si="18"/>
        <v>45230</v>
      </c>
      <c r="N114" s="136">
        <f t="shared" si="18"/>
        <v>45260</v>
      </c>
      <c r="O114" s="137">
        <f t="shared" si="18"/>
        <v>45291</v>
      </c>
      <c r="Q114" s="334" t="s">
        <v>343</v>
      </c>
    </row>
    <row r="115" spans="1:18" ht="15" customHeight="1" thickBot="1" x14ac:dyDescent="0.3">
      <c r="B115" s="85"/>
      <c r="E115" s="86"/>
      <c r="F115" s="86"/>
      <c r="G115" s="86"/>
      <c r="H115" s="86"/>
      <c r="I115" s="86"/>
      <c r="J115" s="86"/>
      <c r="K115" s="86"/>
      <c r="L115" s="86"/>
      <c r="M115" s="86"/>
      <c r="N115" s="86"/>
      <c r="O115" s="86"/>
      <c r="P115" s="79"/>
    </row>
    <row r="116" spans="1:18" ht="15" customHeight="1" thickBot="1" x14ac:dyDescent="0.3">
      <c r="A116" s="55"/>
      <c r="B116" s="102" t="s">
        <v>161</v>
      </c>
      <c r="C116" s="73"/>
      <c r="D116" s="481">
        <f>SUM(D117:D120)</f>
        <v>0</v>
      </c>
      <c r="E116" s="482">
        <f t="shared" ref="E116:O116" si="19">SUM(E117:E120)</f>
        <v>0</v>
      </c>
      <c r="F116" s="482">
        <f t="shared" si="19"/>
        <v>0</v>
      </c>
      <c r="G116" s="482">
        <f t="shared" si="19"/>
        <v>0</v>
      </c>
      <c r="H116" s="482">
        <f t="shared" si="19"/>
        <v>0</v>
      </c>
      <c r="I116" s="482">
        <f t="shared" si="19"/>
        <v>0</v>
      </c>
      <c r="J116" s="482">
        <f t="shared" si="19"/>
        <v>0</v>
      </c>
      <c r="K116" s="482">
        <f t="shared" si="19"/>
        <v>0</v>
      </c>
      <c r="L116" s="482">
        <f t="shared" si="19"/>
        <v>0</v>
      </c>
      <c r="M116" s="482">
        <f t="shared" si="19"/>
        <v>0</v>
      </c>
      <c r="N116" s="482">
        <f t="shared" si="19"/>
        <v>0</v>
      </c>
      <c r="O116" s="483">
        <f t="shared" si="19"/>
        <v>0</v>
      </c>
      <c r="Q116" s="526">
        <f>SUM(D116:O116)-('Saisie plan de financement'!D107)</f>
        <v>-20393.077197744668</v>
      </c>
      <c r="R116" s="82" t="s">
        <v>270</v>
      </c>
    </row>
    <row r="117" spans="1:18" ht="15" customHeight="1" x14ac:dyDescent="0.25">
      <c r="A117" s="50"/>
      <c r="B117" s="111" t="s">
        <v>164</v>
      </c>
      <c r="C117" s="71"/>
      <c r="D117" s="490"/>
      <c r="E117" s="491"/>
      <c r="F117" s="491"/>
      <c r="G117" s="491"/>
      <c r="H117" s="491"/>
      <c r="I117" s="491"/>
      <c r="J117" s="491"/>
      <c r="K117" s="491"/>
      <c r="L117" s="491"/>
      <c r="M117" s="491"/>
      <c r="N117" s="491"/>
      <c r="O117" s="492"/>
    </row>
    <row r="118" spans="1:18" ht="15" customHeight="1" x14ac:dyDescent="0.25">
      <c r="A118" s="56"/>
      <c r="B118" s="112" t="s">
        <v>165</v>
      </c>
      <c r="C118" s="71"/>
      <c r="D118" s="490"/>
      <c r="E118" s="491"/>
      <c r="F118" s="491"/>
      <c r="G118" s="491"/>
      <c r="H118" s="491"/>
      <c r="I118" s="491"/>
      <c r="J118" s="491"/>
      <c r="K118" s="491"/>
      <c r="L118" s="491"/>
      <c r="M118" s="491"/>
      <c r="N118" s="491"/>
      <c r="O118" s="492"/>
    </row>
    <row r="119" spans="1:18" ht="15" customHeight="1" x14ac:dyDescent="0.25">
      <c r="A119" s="56"/>
      <c r="B119" s="112" t="s">
        <v>166</v>
      </c>
      <c r="C119" s="71"/>
      <c r="D119" s="490"/>
      <c r="E119" s="491"/>
      <c r="F119" s="491"/>
      <c r="G119" s="491"/>
      <c r="H119" s="491"/>
      <c r="I119" s="491"/>
      <c r="J119" s="491"/>
      <c r="K119" s="491"/>
      <c r="L119" s="491"/>
      <c r="M119" s="491"/>
      <c r="N119" s="491"/>
      <c r="O119" s="492"/>
    </row>
    <row r="120" spans="1:18" ht="15" customHeight="1" thickBot="1" x14ac:dyDescent="0.3">
      <c r="A120" s="56"/>
      <c r="B120" s="113" t="s">
        <v>93</v>
      </c>
      <c r="C120" s="71"/>
      <c r="D120" s="493"/>
      <c r="E120" s="494"/>
      <c r="F120" s="494"/>
      <c r="G120" s="494"/>
      <c r="H120" s="494"/>
      <c r="I120" s="494"/>
      <c r="J120" s="494"/>
      <c r="K120" s="494"/>
      <c r="L120" s="494"/>
      <c r="M120" s="494"/>
      <c r="N120" s="494"/>
      <c r="O120" s="495"/>
    </row>
    <row r="121" spans="1:18" ht="15" customHeight="1" thickBot="1" x14ac:dyDescent="0.3">
      <c r="B121" s="85"/>
      <c r="D121" s="67"/>
      <c r="E121" s="115"/>
      <c r="F121" s="115"/>
      <c r="G121" s="115"/>
      <c r="H121" s="115"/>
      <c r="I121" s="115"/>
      <c r="J121" s="115"/>
      <c r="K121" s="115"/>
      <c r="L121" s="115"/>
      <c r="M121" s="115"/>
      <c r="N121" s="115"/>
      <c r="O121" s="115"/>
      <c r="P121" s="79"/>
    </row>
    <row r="122" spans="1:18" ht="15" customHeight="1" thickBot="1" x14ac:dyDescent="0.3">
      <c r="A122" s="56"/>
      <c r="B122" s="103" t="s">
        <v>218</v>
      </c>
      <c r="C122" s="71"/>
      <c r="D122" s="481">
        <f>SUM(D123:D127)</f>
        <v>0</v>
      </c>
      <c r="E122" s="482">
        <f t="shared" ref="E122:O122" si="20">SUM(E123:E127)</f>
        <v>0</v>
      </c>
      <c r="F122" s="482">
        <f t="shared" si="20"/>
        <v>0</v>
      </c>
      <c r="G122" s="482">
        <f t="shared" si="20"/>
        <v>0</v>
      </c>
      <c r="H122" s="482">
        <f t="shared" si="20"/>
        <v>0</v>
      </c>
      <c r="I122" s="482">
        <f t="shared" si="20"/>
        <v>0</v>
      </c>
      <c r="J122" s="482">
        <f t="shared" si="20"/>
        <v>0</v>
      </c>
      <c r="K122" s="482">
        <f t="shared" si="20"/>
        <v>0</v>
      </c>
      <c r="L122" s="482">
        <f t="shared" si="20"/>
        <v>3000</v>
      </c>
      <c r="M122" s="482">
        <f t="shared" si="20"/>
        <v>0</v>
      </c>
      <c r="N122" s="482">
        <f t="shared" si="20"/>
        <v>0</v>
      </c>
      <c r="O122" s="483">
        <f t="shared" si="20"/>
        <v>0</v>
      </c>
      <c r="Q122" s="526">
        <f>SUM(D122:O122)-('Saisie plan de financement'!D106)</f>
        <v>-25500</v>
      </c>
      <c r="R122" s="82" t="s">
        <v>270</v>
      </c>
    </row>
    <row r="123" spans="1:18" ht="15" customHeight="1" x14ac:dyDescent="0.25">
      <c r="A123" s="56"/>
      <c r="B123" s="104" t="s">
        <v>157</v>
      </c>
      <c r="C123" s="71"/>
      <c r="D123" s="490"/>
      <c r="E123" s="491"/>
      <c r="F123" s="491"/>
      <c r="G123" s="491"/>
      <c r="H123" s="491"/>
      <c r="I123" s="491"/>
      <c r="J123" s="491"/>
      <c r="K123" s="491"/>
      <c r="L123" s="491"/>
      <c r="M123" s="491"/>
      <c r="N123" s="491"/>
      <c r="O123" s="492"/>
    </row>
    <row r="124" spans="1:18" ht="15" customHeight="1" x14ac:dyDescent="0.25">
      <c r="A124" s="56"/>
      <c r="B124" s="105" t="s">
        <v>158</v>
      </c>
      <c r="C124" s="71"/>
      <c r="D124" s="490"/>
      <c r="E124" s="491"/>
      <c r="F124" s="491"/>
      <c r="G124" s="491"/>
      <c r="H124" s="491"/>
      <c r="I124" s="491"/>
      <c r="J124" s="491"/>
      <c r="K124" s="491"/>
      <c r="L124" s="491"/>
      <c r="M124" s="491"/>
      <c r="N124" s="491"/>
      <c r="O124" s="492"/>
    </row>
    <row r="125" spans="1:18" ht="15" customHeight="1" x14ac:dyDescent="0.25">
      <c r="A125" s="56"/>
      <c r="B125" s="105" t="s">
        <v>160</v>
      </c>
      <c r="C125" s="71"/>
      <c r="D125" s="490"/>
      <c r="E125" s="491"/>
      <c r="F125" s="491"/>
      <c r="G125" s="491"/>
      <c r="H125" s="491"/>
      <c r="I125" s="491"/>
      <c r="J125" s="491"/>
      <c r="K125" s="491"/>
      <c r="L125" s="491">
        <v>3000</v>
      </c>
      <c r="M125" s="491"/>
      <c r="N125" s="491"/>
      <c r="O125" s="492"/>
    </row>
    <row r="126" spans="1:18" ht="15" customHeight="1" x14ac:dyDescent="0.25">
      <c r="A126" s="56"/>
      <c r="B126" s="105" t="s">
        <v>159</v>
      </c>
      <c r="C126" s="71"/>
      <c r="D126" s="490"/>
      <c r="E126" s="491"/>
      <c r="F126" s="491"/>
      <c r="G126" s="491"/>
      <c r="H126" s="491"/>
      <c r="I126" s="491"/>
      <c r="J126" s="491"/>
      <c r="K126" s="491"/>
      <c r="L126" s="491"/>
      <c r="M126" s="491"/>
      <c r="N126" s="491"/>
      <c r="O126" s="492"/>
    </row>
    <row r="127" spans="1:18" ht="15" customHeight="1" thickBot="1" x14ac:dyDescent="0.3">
      <c r="A127" s="56"/>
      <c r="B127" s="106" t="s">
        <v>155</v>
      </c>
      <c r="C127" s="71"/>
      <c r="D127" s="493"/>
      <c r="E127" s="494"/>
      <c r="F127" s="494"/>
      <c r="G127" s="494"/>
      <c r="H127" s="494"/>
      <c r="I127" s="494"/>
      <c r="J127" s="494"/>
      <c r="K127" s="494"/>
      <c r="L127" s="494"/>
      <c r="M127" s="494"/>
      <c r="N127" s="494"/>
      <c r="O127" s="495"/>
    </row>
    <row r="128" spans="1:18" ht="15" customHeight="1" thickBot="1" x14ac:dyDescent="0.3">
      <c r="B128" s="85"/>
      <c r="D128" s="67"/>
      <c r="E128" s="115"/>
      <c r="F128" s="115"/>
      <c r="G128" s="115"/>
      <c r="H128" s="115"/>
      <c r="I128" s="115"/>
      <c r="J128" s="115"/>
      <c r="K128" s="115"/>
      <c r="L128" s="115"/>
      <c r="M128" s="115"/>
      <c r="N128" s="115"/>
      <c r="O128" s="115"/>
      <c r="P128" s="79"/>
    </row>
    <row r="129" spans="1:18" ht="15" customHeight="1" thickBot="1" x14ac:dyDescent="0.3">
      <c r="A129" s="56"/>
      <c r="B129" s="462" t="s">
        <v>205</v>
      </c>
      <c r="C129" s="127"/>
      <c r="D129" s="463">
        <f>D122+D116</f>
        <v>0</v>
      </c>
      <c r="E129" s="464">
        <f t="shared" ref="E129:O129" si="21">E122+E116</f>
        <v>0</v>
      </c>
      <c r="F129" s="464">
        <f t="shared" si="21"/>
        <v>0</v>
      </c>
      <c r="G129" s="464">
        <f t="shared" si="21"/>
        <v>0</v>
      </c>
      <c r="H129" s="464">
        <f t="shared" si="21"/>
        <v>0</v>
      </c>
      <c r="I129" s="464">
        <f t="shared" si="21"/>
        <v>0</v>
      </c>
      <c r="J129" s="464">
        <f t="shared" si="21"/>
        <v>0</v>
      </c>
      <c r="K129" s="464">
        <f t="shared" si="21"/>
        <v>0</v>
      </c>
      <c r="L129" s="464">
        <f t="shared" si="21"/>
        <v>3000</v>
      </c>
      <c r="M129" s="464">
        <f t="shared" si="21"/>
        <v>0</v>
      </c>
      <c r="N129" s="464">
        <f t="shared" si="21"/>
        <v>0</v>
      </c>
      <c r="O129" s="465">
        <f t="shared" si="21"/>
        <v>0</v>
      </c>
      <c r="Q129" s="334" t="s">
        <v>343</v>
      </c>
    </row>
    <row r="130" spans="1:18" ht="15" customHeight="1" thickBot="1" x14ac:dyDescent="0.3">
      <c r="B130" s="85"/>
      <c r="D130" s="67"/>
      <c r="E130" s="115"/>
      <c r="F130" s="115"/>
      <c r="G130" s="115"/>
      <c r="H130" s="115"/>
      <c r="I130" s="115"/>
      <c r="J130" s="115"/>
      <c r="K130" s="115"/>
      <c r="L130" s="115"/>
      <c r="M130" s="115"/>
      <c r="N130" s="115"/>
      <c r="O130" s="115"/>
      <c r="P130" s="79"/>
    </row>
    <row r="131" spans="1:18" ht="15" customHeight="1" x14ac:dyDescent="0.25">
      <c r="A131" s="23"/>
      <c r="B131" s="91" t="s">
        <v>220</v>
      </c>
      <c r="C131" s="76"/>
      <c r="D131" s="481">
        <f>SUM(D132:D136)</f>
        <v>0</v>
      </c>
      <c r="E131" s="482">
        <f t="shared" ref="E131:O131" si="22">SUM(E132:E136)</f>
        <v>30000</v>
      </c>
      <c r="F131" s="482">
        <f t="shared" si="22"/>
        <v>30000</v>
      </c>
      <c r="G131" s="482">
        <f t="shared" si="22"/>
        <v>30000</v>
      </c>
      <c r="H131" s="482">
        <f t="shared" si="22"/>
        <v>30000</v>
      </c>
      <c r="I131" s="482">
        <f t="shared" si="22"/>
        <v>30000</v>
      </c>
      <c r="J131" s="482">
        <f t="shared" si="22"/>
        <v>30000</v>
      </c>
      <c r="K131" s="482">
        <f t="shared" si="22"/>
        <v>30000</v>
      </c>
      <c r="L131" s="482">
        <f t="shared" si="22"/>
        <v>0</v>
      </c>
      <c r="M131" s="482">
        <f t="shared" si="22"/>
        <v>0</v>
      </c>
      <c r="N131" s="482">
        <f t="shared" si="22"/>
        <v>0</v>
      </c>
      <c r="O131" s="483">
        <f t="shared" si="22"/>
        <v>0</v>
      </c>
      <c r="Q131" s="526">
        <f>SUM(D131:O131)-'Saisie budget prévisionnel'!E77</f>
        <v>210000</v>
      </c>
      <c r="R131" s="82" t="s">
        <v>236</v>
      </c>
    </row>
    <row r="132" spans="1:18" ht="15" customHeight="1" x14ac:dyDescent="0.25">
      <c r="A132" s="23"/>
      <c r="B132" s="87" t="s">
        <v>168</v>
      </c>
      <c r="C132" s="76"/>
      <c r="D132" s="490"/>
      <c r="E132" s="491"/>
      <c r="F132" s="491"/>
      <c r="G132" s="491"/>
      <c r="H132" s="491"/>
      <c r="I132" s="491"/>
      <c r="J132" s="491"/>
      <c r="K132" s="491"/>
      <c r="L132" s="491"/>
      <c r="M132" s="491"/>
      <c r="N132" s="491"/>
      <c r="O132" s="492"/>
    </row>
    <row r="133" spans="1:18" ht="15" customHeight="1" x14ac:dyDescent="0.25">
      <c r="A133" s="23"/>
      <c r="B133" s="33" t="s">
        <v>88</v>
      </c>
      <c r="C133" s="76"/>
      <c r="D133" s="490"/>
      <c r="E133" s="491">
        <v>30000</v>
      </c>
      <c r="F133" s="491">
        <v>30000</v>
      </c>
      <c r="G133" s="491">
        <v>30000</v>
      </c>
      <c r="H133" s="491">
        <v>30000</v>
      </c>
      <c r="I133" s="491">
        <v>30000</v>
      </c>
      <c r="J133" s="491">
        <v>30000</v>
      </c>
      <c r="K133" s="491">
        <v>30000</v>
      </c>
      <c r="L133" s="491"/>
      <c r="M133" s="491"/>
      <c r="N133" s="491"/>
      <c r="O133" s="492"/>
    </row>
    <row r="134" spans="1:18" ht="15" customHeight="1" x14ac:dyDescent="0.25">
      <c r="A134" s="23"/>
      <c r="B134" s="33" t="s">
        <v>89</v>
      </c>
      <c r="C134" s="76"/>
      <c r="D134" s="490"/>
      <c r="E134" s="491"/>
      <c r="F134" s="491"/>
      <c r="G134" s="491"/>
      <c r="H134" s="491"/>
      <c r="I134" s="491"/>
      <c r="J134" s="491"/>
      <c r="K134" s="491"/>
      <c r="L134" s="491"/>
      <c r="M134" s="491"/>
      <c r="N134" s="491"/>
      <c r="O134" s="492"/>
    </row>
    <row r="135" spans="1:18" ht="15" customHeight="1" x14ac:dyDescent="0.25">
      <c r="A135" s="56"/>
      <c r="B135" s="26" t="s">
        <v>167</v>
      </c>
      <c r="C135" s="73"/>
      <c r="D135" s="490"/>
      <c r="E135" s="491"/>
      <c r="F135" s="491"/>
      <c r="G135" s="491"/>
      <c r="H135" s="491"/>
      <c r="I135" s="491"/>
      <c r="J135" s="491"/>
      <c r="K135" s="491"/>
      <c r="L135" s="491"/>
      <c r="M135" s="491"/>
      <c r="N135" s="491"/>
      <c r="O135" s="492"/>
    </row>
    <row r="136" spans="1:18" ht="15" customHeight="1" thickBot="1" x14ac:dyDescent="0.3">
      <c r="A136" s="56"/>
      <c r="B136" s="61" t="s">
        <v>167</v>
      </c>
      <c r="C136" s="73"/>
      <c r="D136" s="493"/>
      <c r="E136" s="494"/>
      <c r="F136" s="494"/>
      <c r="G136" s="494"/>
      <c r="H136" s="494"/>
      <c r="I136" s="494"/>
      <c r="J136" s="494"/>
      <c r="K136" s="494"/>
      <c r="L136" s="494"/>
      <c r="M136" s="494"/>
      <c r="N136" s="494"/>
      <c r="O136" s="495"/>
    </row>
    <row r="137" spans="1:18" ht="15" customHeight="1" thickBot="1" x14ac:dyDescent="0.3">
      <c r="B137" s="85"/>
      <c r="D137" s="67"/>
      <c r="E137" s="115"/>
      <c r="F137" s="115"/>
      <c r="G137" s="115"/>
      <c r="H137" s="115"/>
      <c r="I137" s="115"/>
      <c r="J137" s="115"/>
      <c r="K137" s="115"/>
      <c r="L137" s="115"/>
      <c r="M137" s="115"/>
      <c r="N137" s="115"/>
      <c r="O137" s="115"/>
      <c r="P137" s="79"/>
    </row>
    <row r="138" spans="1:18" ht="15" customHeight="1" thickBot="1" x14ac:dyDescent="0.3">
      <c r="A138" s="57"/>
      <c r="B138" s="98" t="s">
        <v>219</v>
      </c>
      <c r="C138" s="71"/>
      <c r="D138" s="481">
        <f>SUM(D139:D153)</f>
        <v>0</v>
      </c>
      <c r="E138" s="482">
        <f t="shared" ref="E138:O138" si="23">SUM(E139:E153)</f>
        <v>0</v>
      </c>
      <c r="F138" s="482">
        <f t="shared" si="23"/>
        <v>0</v>
      </c>
      <c r="G138" s="482">
        <f t="shared" si="23"/>
        <v>0</v>
      </c>
      <c r="H138" s="482">
        <f t="shared" si="23"/>
        <v>0</v>
      </c>
      <c r="I138" s="482">
        <f t="shared" si="23"/>
        <v>0</v>
      </c>
      <c r="J138" s="482">
        <f t="shared" si="23"/>
        <v>0</v>
      </c>
      <c r="K138" s="482">
        <f t="shared" si="23"/>
        <v>0</v>
      </c>
      <c r="L138" s="482">
        <f t="shared" si="23"/>
        <v>0</v>
      </c>
      <c r="M138" s="482">
        <f t="shared" si="23"/>
        <v>0</v>
      </c>
      <c r="N138" s="482">
        <f t="shared" si="23"/>
        <v>0</v>
      </c>
      <c r="O138" s="483">
        <f t="shared" si="23"/>
        <v>0</v>
      </c>
      <c r="Q138" s="526">
        <f>SUM(D138:O138)-'Saisie budget prévisionnel'!E78</f>
        <v>-8850</v>
      </c>
      <c r="R138" s="82" t="s">
        <v>236</v>
      </c>
    </row>
    <row r="139" spans="1:18" ht="15" customHeight="1" x14ac:dyDescent="0.25">
      <c r="A139" s="57"/>
      <c r="B139" s="97" t="str">
        <f t="shared" ref="B139:B150" si="24">B10</f>
        <v>Fournitures d'entretien/bureau</v>
      </c>
      <c r="C139" s="71"/>
      <c r="D139" s="490"/>
      <c r="E139" s="491"/>
      <c r="F139" s="491"/>
      <c r="G139" s="491"/>
      <c r="H139" s="491"/>
      <c r="I139" s="491"/>
      <c r="J139" s="491"/>
      <c r="K139" s="491"/>
      <c r="L139" s="491"/>
      <c r="M139" s="491"/>
      <c r="N139" s="491"/>
      <c r="O139" s="492"/>
    </row>
    <row r="140" spans="1:18" ht="15" customHeight="1" x14ac:dyDescent="0.25">
      <c r="A140" s="57"/>
      <c r="B140" s="95" t="str">
        <f t="shared" si="24"/>
        <v>Location de matériels</v>
      </c>
      <c r="C140" s="71"/>
      <c r="D140" s="490"/>
      <c r="E140" s="491"/>
      <c r="F140" s="491"/>
      <c r="G140" s="491"/>
      <c r="H140" s="491"/>
      <c r="I140" s="491"/>
      <c r="J140" s="491"/>
      <c r="K140" s="491"/>
      <c r="L140" s="491"/>
      <c r="M140" s="491"/>
      <c r="N140" s="491"/>
      <c r="O140" s="492"/>
    </row>
    <row r="141" spans="1:18" ht="15" customHeight="1" x14ac:dyDescent="0.25">
      <c r="A141" s="57"/>
      <c r="B141" s="95" t="str">
        <f t="shared" si="24"/>
        <v>Eau Gaz Electricité locaux</v>
      </c>
      <c r="C141" s="71"/>
      <c r="D141" s="490"/>
      <c r="E141" s="491"/>
      <c r="F141" s="491"/>
      <c r="G141" s="491"/>
      <c r="H141" s="491"/>
      <c r="I141" s="491"/>
      <c r="J141" s="491"/>
      <c r="K141" s="491"/>
      <c r="L141" s="491"/>
      <c r="M141" s="491"/>
      <c r="N141" s="491"/>
      <c r="O141" s="492"/>
    </row>
    <row r="142" spans="1:18" ht="15" customHeight="1" x14ac:dyDescent="0.25">
      <c r="A142" s="56"/>
      <c r="B142" s="95" t="str">
        <f t="shared" si="24"/>
        <v xml:space="preserve">Location et charges locatives </v>
      </c>
      <c r="C142" s="71"/>
      <c r="D142" s="490"/>
      <c r="E142" s="491"/>
      <c r="F142" s="491"/>
      <c r="G142" s="491"/>
      <c r="H142" s="491"/>
      <c r="I142" s="491"/>
      <c r="J142" s="491"/>
      <c r="K142" s="491"/>
      <c r="L142" s="491"/>
      <c r="M142" s="491"/>
      <c r="N142" s="491"/>
      <c r="O142" s="492"/>
    </row>
    <row r="143" spans="1:18" ht="12.5" x14ac:dyDescent="0.25">
      <c r="A143" s="56"/>
      <c r="B143" s="95" t="str">
        <f t="shared" si="24"/>
        <v xml:space="preserve">Travaux entretien réparation </v>
      </c>
      <c r="C143" s="71"/>
      <c r="D143" s="490"/>
      <c r="E143" s="491"/>
      <c r="F143" s="491"/>
      <c r="G143" s="491"/>
      <c r="H143" s="491"/>
      <c r="I143" s="491"/>
      <c r="J143" s="491"/>
      <c r="K143" s="491"/>
      <c r="L143" s="491"/>
      <c r="M143" s="491"/>
      <c r="N143" s="491"/>
      <c r="O143" s="492"/>
    </row>
    <row r="144" spans="1:18" ht="15" customHeight="1" x14ac:dyDescent="0.25">
      <c r="A144" s="56"/>
      <c r="B144" s="95" t="str">
        <f t="shared" si="24"/>
        <v xml:space="preserve">Honoraires et assurances </v>
      </c>
      <c r="C144" s="71"/>
      <c r="D144" s="490"/>
      <c r="E144" s="491"/>
      <c r="F144" s="491"/>
      <c r="G144" s="491"/>
      <c r="H144" s="491"/>
      <c r="I144" s="491"/>
      <c r="J144" s="491"/>
      <c r="K144" s="491"/>
      <c r="L144" s="491"/>
      <c r="M144" s="491"/>
      <c r="N144" s="491"/>
      <c r="O144" s="492"/>
    </row>
    <row r="145" spans="1:18" ht="15" customHeight="1" x14ac:dyDescent="0.25">
      <c r="A145" s="56"/>
      <c r="B145" s="95" t="str">
        <f t="shared" si="24"/>
        <v xml:space="preserve">Sous traitance </v>
      </c>
      <c r="C145" s="71"/>
      <c r="D145" s="490"/>
      <c r="E145" s="491"/>
      <c r="F145" s="491"/>
      <c r="G145" s="491"/>
      <c r="H145" s="491"/>
      <c r="I145" s="491"/>
      <c r="J145" s="491"/>
      <c r="K145" s="491"/>
      <c r="L145" s="491"/>
      <c r="M145" s="491"/>
      <c r="N145" s="491"/>
      <c r="O145" s="492"/>
    </row>
    <row r="146" spans="1:18" ht="15" customHeight="1" x14ac:dyDescent="0.25">
      <c r="A146" s="52"/>
      <c r="B146" s="95" t="str">
        <f t="shared" si="24"/>
        <v>Télécoms + Courrier</v>
      </c>
      <c r="C146" s="71"/>
      <c r="D146" s="490"/>
      <c r="E146" s="491"/>
      <c r="F146" s="491"/>
      <c r="G146" s="491"/>
      <c r="H146" s="491"/>
      <c r="I146" s="491"/>
      <c r="J146" s="491"/>
      <c r="K146" s="491"/>
      <c r="L146" s="491"/>
      <c r="M146" s="491"/>
      <c r="N146" s="491"/>
      <c r="O146" s="492"/>
    </row>
    <row r="147" spans="1:18" ht="15" customHeight="1" x14ac:dyDescent="0.25">
      <c r="A147" s="52"/>
      <c r="B147" s="95" t="str">
        <f t="shared" si="24"/>
        <v>Résidence</v>
      </c>
      <c r="C147" s="71"/>
      <c r="D147" s="490"/>
      <c r="E147" s="491"/>
      <c r="F147" s="491"/>
      <c r="G147" s="491"/>
      <c r="H147" s="491"/>
      <c r="I147" s="491"/>
      <c r="J147" s="491"/>
      <c r="K147" s="491"/>
      <c r="L147" s="491"/>
      <c r="M147" s="491"/>
      <c r="N147" s="491"/>
      <c r="O147" s="492"/>
    </row>
    <row r="148" spans="1:18" ht="15" customHeight="1" x14ac:dyDescent="0.25">
      <c r="A148" s="52"/>
      <c r="B148" s="95" t="str">
        <f t="shared" si="24"/>
        <v>Missions, réception, hébergement</v>
      </c>
      <c r="C148" s="71"/>
      <c r="D148" s="490"/>
      <c r="E148" s="491"/>
      <c r="F148" s="491"/>
      <c r="G148" s="491"/>
      <c r="H148" s="491"/>
      <c r="I148" s="491"/>
      <c r="J148" s="491"/>
      <c r="K148" s="491"/>
      <c r="L148" s="491"/>
      <c r="M148" s="491"/>
      <c r="N148" s="491"/>
      <c r="O148" s="492"/>
    </row>
    <row r="149" spans="1:18" ht="15" customHeight="1" x14ac:dyDescent="0.25">
      <c r="A149" s="52"/>
      <c r="B149" s="95" t="str">
        <f t="shared" si="24"/>
        <v>Communications</v>
      </c>
      <c r="C149" s="71"/>
      <c r="D149" s="490"/>
      <c r="E149" s="491"/>
      <c r="F149" s="491"/>
      <c r="G149" s="491"/>
      <c r="H149" s="491"/>
      <c r="I149" s="491"/>
      <c r="J149" s="491"/>
      <c r="K149" s="491"/>
      <c r="L149" s="491"/>
      <c r="M149" s="491"/>
      <c r="N149" s="491"/>
      <c r="O149" s="492"/>
    </row>
    <row r="150" spans="1:18" ht="15" customHeight="1" x14ac:dyDescent="0.25">
      <c r="A150" s="52"/>
      <c r="B150" s="95" t="str">
        <f t="shared" si="24"/>
        <v>Documentation</v>
      </c>
      <c r="C150" s="71"/>
      <c r="D150" s="490"/>
      <c r="E150" s="491"/>
      <c r="F150" s="491"/>
      <c r="G150" s="491"/>
      <c r="H150" s="491"/>
      <c r="I150" s="491"/>
      <c r="J150" s="491"/>
      <c r="K150" s="491"/>
      <c r="L150" s="491"/>
      <c r="M150" s="491"/>
      <c r="N150" s="491"/>
      <c r="O150" s="492"/>
    </row>
    <row r="151" spans="1:18" ht="15" customHeight="1" x14ac:dyDescent="0.25">
      <c r="A151" s="52"/>
      <c r="B151" s="95" t="str">
        <f>B33</f>
        <v>Agessa/Maison des artistes</v>
      </c>
      <c r="C151" s="71"/>
      <c r="D151" s="490"/>
      <c r="E151" s="491"/>
      <c r="F151" s="491"/>
      <c r="G151" s="491"/>
      <c r="H151" s="491"/>
      <c r="I151" s="491"/>
      <c r="J151" s="491"/>
      <c r="K151" s="491"/>
      <c r="L151" s="491"/>
      <c r="M151" s="491"/>
      <c r="N151" s="491"/>
      <c r="O151" s="492"/>
    </row>
    <row r="152" spans="1:18" ht="15" customHeight="1" x14ac:dyDescent="0.25">
      <c r="A152" s="52"/>
      <c r="B152" s="97" t="str">
        <f>B28</f>
        <v>Frais de mission dont défraiement</v>
      </c>
      <c r="C152" s="71"/>
      <c r="D152" s="490"/>
      <c r="E152" s="491"/>
      <c r="F152" s="491"/>
      <c r="G152" s="491"/>
      <c r="H152" s="491"/>
      <c r="I152" s="491"/>
      <c r="J152" s="491"/>
      <c r="K152" s="491"/>
      <c r="L152" s="491"/>
      <c r="M152" s="491"/>
      <c r="N152" s="491"/>
      <c r="O152" s="492"/>
    </row>
    <row r="153" spans="1:18" ht="15" customHeight="1" thickBot="1" x14ac:dyDescent="0.3">
      <c r="A153" s="52"/>
      <c r="B153" s="96" t="str">
        <f>B25</f>
        <v>Autres charges externes</v>
      </c>
      <c r="C153" s="71"/>
      <c r="D153" s="493"/>
      <c r="E153" s="494"/>
      <c r="F153" s="494"/>
      <c r="G153" s="494"/>
      <c r="H153" s="494"/>
      <c r="I153" s="494"/>
      <c r="J153" s="494"/>
      <c r="K153" s="494"/>
      <c r="L153" s="494"/>
      <c r="M153" s="494"/>
      <c r="N153" s="494"/>
      <c r="O153" s="495"/>
    </row>
    <row r="154" spans="1:18" ht="15" customHeight="1" thickBot="1" x14ac:dyDescent="0.3">
      <c r="B154" s="85"/>
      <c r="D154" s="67"/>
      <c r="E154" s="115"/>
      <c r="F154" s="115"/>
      <c r="G154" s="115"/>
      <c r="H154" s="115"/>
      <c r="I154" s="115"/>
      <c r="J154" s="115"/>
      <c r="K154" s="115"/>
      <c r="L154" s="115"/>
      <c r="M154" s="115"/>
      <c r="N154" s="115"/>
      <c r="O154" s="115"/>
      <c r="P154" s="79"/>
    </row>
    <row r="155" spans="1:18" ht="15" customHeight="1" thickBot="1" x14ac:dyDescent="0.3">
      <c r="A155" s="52"/>
      <c r="B155" s="98" t="s">
        <v>192</v>
      </c>
      <c r="C155" s="71"/>
      <c r="D155" s="481">
        <f>SUM(D156:D161)</f>
        <v>0</v>
      </c>
      <c r="E155" s="482">
        <f t="shared" ref="E155:O155" si="25">SUM(E156:E161)</f>
        <v>0</v>
      </c>
      <c r="F155" s="482">
        <f t="shared" si="25"/>
        <v>0</v>
      </c>
      <c r="G155" s="482">
        <f t="shared" si="25"/>
        <v>0</v>
      </c>
      <c r="H155" s="482">
        <f t="shared" si="25"/>
        <v>0</v>
      </c>
      <c r="I155" s="482">
        <f t="shared" si="25"/>
        <v>0</v>
      </c>
      <c r="J155" s="482">
        <f t="shared" si="25"/>
        <v>0</v>
      </c>
      <c r="K155" s="482">
        <f t="shared" si="25"/>
        <v>0</v>
      </c>
      <c r="L155" s="482">
        <f t="shared" si="25"/>
        <v>0</v>
      </c>
      <c r="M155" s="482">
        <f t="shared" si="25"/>
        <v>0</v>
      </c>
      <c r="N155" s="482">
        <f t="shared" si="25"/>
        <v>0</v>
      </c>
      <c r="O155" s="483">
        <f t="shared" si="25"/>
        <v>0</v>
      </c>
      <c r="Q155" s="526">
        <f>SUM(D155:O155)-('Saisie budget prévisionnel'!E80+'Saisie budget prévisionnel'!E83)</f>
        <v>-40000</v>
      </c>
      <c r="R155" s="82" t="s">
        <v>236</v>
      </c>
    </row>
    <row r="156" spans="1:18" ht="15" customHeight="1" x14ac:dyDescent="0.25">
      <c r="A156" s="52"/>
      <c r="B156" s="95" t="str">
        <f>B29</f>
        <v>Salaires permanents (hors cotisations)</v>
      </c>
      <c r="C156" s="71"/>
      <c r="D156" s="490"/>
      <c r="E156" s="491"/>
      <c r="F156" s="491"/>
      <c r="G156" s="491"/>
      <c r="H156" s="491"/>
      <c r="I156" s="491"/>
      <c r="J156" s="491"/>
      <c r="K156" s="491"/>
      <c r="L156" s="491"/>
      <c r="M156" s="491"/>
      <c r="N156" s="491"/>
      <c r="O156" s="492"/>
    </row>
    <row r="157" spans="1:18" ht="15" customHeight="1" x14ac:dyDescent="0.25">
      <c r="A157" s="52"/>
      <c r="B157" s="95" t="str">
        <f>B30</f>
        <v>Cotisations salariés permanents</v>
      </c>
      <c r="C157" s="71"/>
      <c r="D157" s="490"/>
      <c r="E157" s="491"/>
      <c r="F157" s="491"/>
      <c r="G157" s="491"/>
      <c r="H157" s="491"/>
      <c r="I157" s="491"/>
      <c r="J157" s="491"/>
      <c r="K157" s="491"/>
      <c r="L157" s="491"/>
      <c r="M157" s="491"/>
      <c r="N157" s="491"/>
      <c r="O157" s="492"/>
    </row>
    <row r="158" spans="1:18" ht="15" customHeight="1" x14ac:dyDescent="0.25">
      <c r="A158" s="52"/>
      <c r="B158" s="95" t="str">
        <f>B31</f>
        <v>Salaire intermittents artistiques (hors cotis.)</v>
      </c>
      <c r="C158" s="71"/>
      <c r="D158" s="490"/>
      <c r="E158" s="491"/>
      <c r="F158" s="491"/>
      <c r="G158" s="491"/>
      <c r="H158" s="491"/>
      <c r="I158" s="491"/>
      <c r="J158" s="491"/>
      <c r="K158" s="491"/>
      <c r="L158" s="491"/>
      <c r="M158" s="491"/>
      <c r="N158" s="491"/>
      <c r="O158" s="492"/>
    </row>
    <row r="159" spans="1:18" ht="15" customHeight="1" x14ac:dyDescent="0.25">
      <c r="A159" s="52"/>
      <c r="B159" s="95" t="str">
        <f>B32</f>
        <v>Cotisation intermittents</v>
      </c>
      <c r="C159" s="71"/>
      <c r="D159" s="490"/>
      <c r="E159" s="491"/>
      <c r="F159" s="491"/>
      <c r="G159" s="491"/>
      <c r="H159" s="491"/>
      <c r="I159" s="491"/>
      <c r="J159" s="491"/>
      <c r="K159" s="491"/>
      <c r="L159" s="491"/>
      <c r="M159" s="491"/>
      <c r="N159" s="491"/>
      <c r="O159" s="492"/>
    </row>
    <row r="160" spans="1:18" ht="15" customHeight="1" x14ac:dyDescent="0.25">
      <c r="A160" s="52"/>
      <c r="B160" s="95" t="str">
        <f>B34</f>
        <v>Autre</v>
      </c>
      <c r="C160" s="71"/>
      <c r="D160" s="490"/>
      <c r="E160" s="491"/>
      <c r="F160" s="491"/>
      <c r="G160" s="491"/>
      <c r="H160" s="491"/>
      <c r="I160" s="491"/>
      <c r="J160" s="491"/>
      <c r="K160" s="491"/>
      <c r="L160" s="491"/>
      <c r="M160" s="491"/>
      <c r="N160" s="491"/>
      <c r="O160" s="492"/>
    </row>
    <row r="161" spans="1:18" ht="15" customHeight="1" thickBot="1" x14ac:dyDescent="0.3">
      <c r="A161" s="52"/>
      <c r="B161" s="96" t="str">
        <f>B35</f>
        <v>Autre</v>
      </c>
      <c r="C161" s="71"/>
      <c r="D161" s="493"/>
      <c r="E161" s="494"/>
      <c r="F161" s="494"/>
      <c r="G161" s="494"/>
      <c r="H161" s="494"/>
      <c r="I161" s="494"/>
      <c r="J161" s="494"/>
      <c r="K161" s="494"/>
      <c r="L161" s="494"/>
      <c r="M161" s="494"/>
      <c r="N161" s="494"/>
      <c r="O161" s="495"/>
    </row>
    <row r="162" spans="1:18" ht="15" customHeight="1" thickBot="1" x14ac:dyDescent="0.3">
      <c r="B162" s="85"/>
      <c r="D162" s="67"/>
      <c r="E162" s="115"/>
      <c r="F162" s="115"/>
      <c r="G162" s="115"/>
      <c r="H162" s="115"/>
      <c r="I162" s="115"/>
      <c r="J162" s="115"/>
      <c r="K162" s="115"/>
      <c r="L162" s="115"/>
      <c r="M162" s="115"/>
      <c r="N162" s="115"/>
      <c r="O162" s="115"/>
      <c r="P162" s="79"/>
    </row>
    <row r="163" spans="1:18" ht="15" customHeight="1" thickBot="1" x14ac:dyDescent="0.3">
      <c r="A163" s="52"/>
      <c r="B163" s="98" t="s">
        <v>92</v>
      </c>
      <c r="C163" s="71"/>
      <c r="D163" s="481">
        <f>SUM(D164:D165)</f>
        <v>0</v>
      </c>
      <c r="E163" s="482">
        <f t="shared" ref="E163:O163" si="26">SUM(E164:E165)</f>
        <v>0</v>
      </c>
      <c r="F163" s="482">
        <f t="shared" si="26"/>
        <v>0</v>
      </c>
      <c r="G163" s="482">
        <f t="shared" si="26"/>
        <v>0</v>
      </c>
      <c r="H163" s="482">
        <f t="shared" si="26"/>
        <v>0</v>
      </c>
      <c r="I163" s="482">
        <f t="shared" si="26"/>
        <v>0</v>
      </c>
      <c r="J163" s="482">
        <f t="shared" si="26"/>
        <v>0</v>
      </c>
      <c r="K163" s="482">
        <f t="shared" si="26"/>
        <v>0</v>
      </c>
      <c r="L163" s="482">
        <f t="shared" si="26"/>
        <v>0</v>
      </c>
      <c r="M163" s="482">
        <f t="shared" si="26"/>
        <v>0</v>
      </c>
      <c r="N163" s="482">
        <f t="shared" si="26"/>
        <v>0</v>
      </c>
      <c r="O163" s="483">
        <f t="shared" si="26"/>
        <v>0</v>
      </c>
      <c r="Q163" s="526"/>
      <c r="R163" s="82"/>
    </row>
    <row r="164" spans="1:18" ht="15" customHeight="1" x14ac:dyDescent="0.25">
      <c r="A164" s="52"/>
      <c r="B164" s="95" t="str">
        <f>B38</f>
        <v>Intérêts et commission bancaires (charges financières)</v>
      </c>
      <c r="C164" s="71"/>
      <c r="D164" s="490"/>
      <c r="E164" s="491"/>
      <c r="F164" s="491"/>
      <c r="G164" s="491"/>
      <c r="H164" s="491"/>
      <c r="I164" s="491"/>
      <c r="J164" s="491"/>
      <c r="K164" s="491"/>
      <c r="L164" s="491"/>
      <c r="M164" s="491"/>
      <c r="N164" s="491"/>
      <c r="O164" s="492"/>
    </row>
    <row r="165" spans="1:18" ht="15" customHeight="1" thickBot="1" x14ac:dyDescent="0.3">
      <c r="A165" s="58"/>
      <c r="B165" s="96" t="str">
        <f>B39</f>
        <v>Autres charges financières</v>
      </c>
      <c r="C165" s="73"/>
      <c r="D165" s="493"/>
      <c r="E165" s="494"/>
      <c r="F165" s="494"/>
      <c r="G165" s="494"/>
      <c r="H165" s="494"/>
      <c r="I165" s="494"/>
      <c r="J165" s="494"/>
      <c r="K165" s="494"/>
      <c r="L165" s="494"/>
      <c r="M165" s="494"/>
      <c r="N165" s="494"/>
      <c r="O165" s="495"/>
    </row>
    <row r="166" spans="1:18" ht="15" customHeight="1" thickBot="1" x14ac:dyDescent="0.3">
      <c r="B166" s="85"/>
      <c r="D166" s="67"/>
      <c r="E166" s="115"/>
      <c r="F166" s="115"/>
      <c r="G166" s="115"/>
      <c r="H166" s="115"/>
      <c r="I166" s="115"/>
      <c r="J166" s="115"/>
      <c r="K166" s="115"/>
      <c r="L166" s="115"/>
      <c r="M166" s="115"/>
      <c r="N166" s="115"/>
      <c r="O166" s="115"/>
      <c r="P166" s="79"/>
    </row>
    <row r="167" spans="1:18" ht="15" customHeight="1" thickBot="1" x14ac:dyDescent="0.3">
      <c r="A167" s="58"/>
      <c r="B167" s="98" t="s">
        <v>241</v>
      </c>
      <c r="C167" s="71"/>
      <c r="D167" s="481">
        <f>SUM(D168:D169)</f>
        <v>0</v>
      </c>
      <c r="E167" s="482">
        <f t="shared" ref="E167:O167" si="27">SUM(E168:E169)</f>
        <v>0</v>
      </c>
      <c r="F167" s="482">
        <f t="shared" si="27"/>
        <v>0</v>
      </c>
      <c r="G167" s="482">
        <f t="shared" si="27"/>
        <v>0</v>
      </c>
      <c r="H167" s="482">
        <f t="shared" si="27"/>
        <v>0</v>
      </c>
      <c r="I167" s="482">
        <f t="shared" si="27"/>
        <v>0</v>
      </c>
      <c r="J167" s="482">
        <f t="shared" si="27"/>
        <v>0</v>
      </c>
      <c r="K167" s="482">
        <f t="shared" si="27"/>
        <v>0</v>
      </c>
      <c r="L167" s="482">
        <f t="shared" si="27"/>
        <v>0</v>
      </c>
      <c r="M167" s="482">
        <f t="shared" si="27"/>
        <v>0</v>
      </c>
      <c r="N167" s="482">
        <f t="shared" si="27"/>
        <v>0</v>
      </c>
      <c r="O167" s="483">
        <f t="shared" si="27"/>
        <v>0</v>
      </c>
      <c r="Q167" s="526">
        <f>SUM(D167:O167)-'Saisie budget prévisionnel'!E79-'Saisie budget prévisionnel'!E115</f>
        <v>0</v>
      </c>
      <c r="R167" s="82" t="s">
        <v>236</v>
      </c>
    </row>
    <row r="168" spans="1:18" ht="15" customHeight="1" x14ac:dyDescent="0.25">
      <c r="A168" s="56"/>
      <c r="B168" s="95" t="str">
        <f>B42</f>
        <v xml:space="preserve">Impôts et taxes </v>
      </c>
      <c r="C168" s="71"/>
      <c r="D168" s="490"/>
      <c r="E168" s="491"/>
      <c r="F168" s="491"/>
      <c r="G168" s="491"/>
      <c r="H168" s="491"/>
      <c r="I168" s="491"/>
      <c r="J168" s="491"/>
      <c r="K168" s="491"/>
      <c r="L168" s="491"/>
      <c r="M168" s="491"/>
      <c r="N168" s="491"/>
      <c r="O168" s="492"/>
    </row>
    <row r="169" spans="1:18" ht="15" customHeight="1" thickBot="1" x14ac:dyDescent="0.3">
      <c r="B169" s="96" t="str">
        <f>B43</f>
        <v xml:space="preserve">Impôts et taxes </v>
      </c>
      <c r="C169" s="71"/>
      <c r="D169" s="493"/>
      <c r="E169" s="494"/>
      <c r="F169" s="494"/>
      <c r="G169" s="494"/>
      <c r="H169" s="494"/>
      <c r="I169" s="494"/>
      <c r="J169" s="494"/>
      <c r="K169" s="494"/>
      <c r="L169" s="494"/>
      <c r="M169" s="494"/>
      <c r="N169" s="494"/>
      <c r="O169" s="495"/>
    </row>
    <row r="170" spans="1:18" ht="15" customHeight="1" thickBot="1" x14ac:dyDescent="0.3">
      <c r="B170" s="85"/>
      <c r="D170" s="67"/>
      <c r="E170" s="115"/>
      <c r="F170" s="115"/>
      <c r="G170" s="115"/>
      <c r="H170" s="115"/>
      <c r="I170" s="115"/>
      <c r="J170" s="115"/>
      <c r="K170" s="115"/>
      <c r="L170" s="115"/>
      <c r="M170" s="115"/>
      <c r="N170" s="115"/>
      <c r="O170" s="115"/>
      <c r="P170" s="79"/>
    </row>
    <row r="171" spans="1:18" ht="15" customHeight="1" thickBot="1" x14ac:dyDescent="0.3">
      <c r="B171" s="98" t="s">
        <v>172</v>
      </c>
      <c r="C171" s="77"/>
      <c r="D171" s="481">
        <f>SUM(D172:D173)</f>
        <v>0</v>
      </c>
      <c r="E171" s="482">
        <f t="shared" ref="E171:O171" si="28">SUM(E172:E173)</f>
        <v>0</v>
      </c>
      <c r="F171" s="482">
        <f t="shared" si="28"/>
        <v>0</v>
      </c>
      <c r="G171" s="482">
        <f t="shared" si="28"/>
        <v>0</v>
      </c>
      <c r="H171" s="482">
        <f t="shared" si="28"/>
        <v>0</v>
      </c>
      <c r="I171" s="482">
        <f t="shared" si="28"/>
        <v>0</v>
      </c>
      <c r="J171" s="482">
        <f t="shared" si="28"/>
        <v>0</v>
      </c>
      <c r="K171" s="482">
        <f t="shared" si="28"/>
        <v>0</v>
      </c>
      <c r="L171" s="482">
        <f t="shared" si="28"/>
        <v>0</v>
      </c>
      <c r="M171" s="482">
        <f t="shared" si="28"/>
        <v>0</v>
      </c>
      <c r="N171" s="482">
        <f t="shared" si="28"/>
        <v>0</v>
      </c>
      <c r="O171" s="483">
        <f t="shared" si="28"/>
        <v>0</v>
      </c>
    </row>
    <row r="172" spans="1:18" ht="15" customHeight="1" x14ac:dyDescent="0.25">
      <c r="B172" s="95" t="s">
        <v>180</v>
      </c>
      <c r="C172" s="75"/>
      <c r="D172" s="496"/>
      <c r="E172" s="497"/>
      <c r="F172" s="497"/>
      <c r="G172" s="497"/>
      <c r="H172" s="497"/>
      <c r="I172" s="497"/>
      <c r="J172" s="497"/>
      <c r="K172" s="497"/>
      <c r="L172" s="497"/>
      <c r="M172" s="497"/>
      <c r="N172" s="497"/>
      <c r="O172" s="498"/>
    </row>
    <row r="173" spans="1:18" ht="15" customHeight="1" thickBot="1" x14ac:dyDescent="0.3">
      <c r="B173" s="96" t="s">
        <v>173</v>
      </c>
      <c r="C173" s="75"/>
      <c r="D173" s="499"/>
      <c r="E173" s="500"/>
      <c r="F173" s="500"/>
      <c r="G173" s="500"/>
      <c r="H173" s="500"/>
      <c r="I173" s="500"/>
      <c r="J173" s="500"/>
      <c r="K173" s="500"/>
      <c r="L173" s="500"/>
      <c r="M173" s="500"/>
      <c r="N173" s="500"/>
      <c r="O173" s="501"/>
    </row>
    <row r="174" spans="1:18" ht="15" customHeight="1" thickBot="1" x14ac:dyDescent="0.3">
      <c r="B174" s="85"/>
      <c r="D174" s="67"/>
      <c r="E174" s="115"/>
      <c r="F174" s="115"/>
      <c r="G174" s="115"/>
      <c r="H174" s="115"/>
      <c r="I174" s="115"/>
      <c r="J174" s="115"/>
      <c r="K174" s="115"/>
      <c r="L174" s="115"/>
      <c r="M174" s="115"/>
      <c r="N174" s="115"/>
      <c r="O174" s="115"/>
      <c r="P174" s="79"/>
    </row>
    <row r="175" spans="1:18" ht="15" customHeight="1" thickBot="1" x14ac:dyDescent="0.3">
      <c r="B175" s="102" t="s">
        <v>181</v>
      </c>
      <c r="D175" s="481">
        <f>D191</f>
        <v>0</v>
      </c>
      <c r="E175" s="482">
        <f>E191</f>
        <v>0</v>
      </c>
      <c r="F175" s="482">
        <f t="shared" ref="F175:O175" si="29">F191</f>
        <v>0</v>
      </c>
      <c r="G175" s="482">
        <f t="shared" si="29"/>
        <v>0</v>
      </c>
      <c r="H175" s="482">
        <f t="shared" si="29"/>
        <v>0</v>
      </c>
      <c r="I175" s="482">
        <f t="shared" si="29"/>
        <v>0</v>
      </c>
      <c r="J175" s="482">
        <f t="shared" si="29"/>
        <v>0</v>
      </c>
      <c r="K175" s="482">
        <f t="shared" si="29"/>
        <v>0</v>
      </c>
      <c r="L175" s="482">
        <f t="shared" si="29"/>
        <v>0</v>
      </c>
      <c r="M175" s="482">
        <f t="shared" si="29"/>
        <v>0</v>
      </c>
      <c r="N175" s="482">
        <f t="shared" si="29"/>
        <v>0</v>
      </c>
      <c r="O175" s="483">
        <f t="shared" si="29"/>
        <v>0</v>
      </c>
      <c r="P175" s="79"/>
    </row>
    <row r="176" spans="1:18" ht="15" customHeight="1" thickBot="1" x14ac:dyDescent="0.3">
      <c r="B176" s="85"/>
      <c r="D176" s="67"/>
      <c r="E176" s="115"/>
      <c r="F176" s="115"/>
      <c r="G176" s="115"/>
      <c r="H176" s="115"/>
      <c r="I176" s="115"/>
      <c r="J176" s="115"/>
      <c r="K176" s="115"/>
      <c r="L176" s="115"/>
      <c r="M176" s="115"/>
      <c r="N176" s="115"/>
      <c r="O176" s="115"/>
      <c r="P176" s="79"/>
    </row>
    <row r="177" spans="1:16" ht="15" customHeight="1" thickBot="1" x14ac:dyDescent="0.3">
      <c r="A177" s="56"/>
      <c r="B177" s="462" t="s">
        <v>206</v>
      </c>
      <c r="C177" s="127"/>
      <c r="D177" s="463">
        <f t="shared" ref="D177:O177" si="30">D175+D171+D167+D163+D155+D138+D131</f>
        <v>0</v>
      </c>
      <c r="E177" s="464">
        <f t="shared" si="30"/>
        <v>30000</v>
      </c>
      <c r="F177" s="464">
        <f t="shared" si="30"/>
        <v>30000</v>
      </c>
      <c r="G177" s="464">
        <f t="shared" si="30"/>
        <v>30000</v>
      </c>
      <c r="H177" s="464">
        <f t="shared" si="30"/>
        <v>30000</v>
      </c>
      <c r="I177" s="464">
        <f t="shared" si="30"/>
        <v>30000</v>
      </c>
      <c r="J177" s="464">
        <f t="shared" si="30"/>
        <v>30000</v>
      </c>
      <c r="K177" s="464">
        <f t="shared" si="30"/>
        <v>30000</v>
      </c>
      <c r="L177" s="464">
        <f t="shared" si="30"/>
        <v>0</v>
      </c>
      <c r="M177" s="464">
        <f t="shared" si="30"/>
        <v>0</v>
      </c>
      <c r="N177" s="464">
        <f t="shared" si="30"/>
        <v>0</v>
      </c>
      <c r="O177" s="465">
        <f t="shared" si="30"/>
        <v>0</v>
      </c>
    </row>
    <row r="178" spans="1:16" ht="15" customHeight="1" thickBot="1" x14ac:dyDescent="0.3">
      <c r="B178" s="123" t="s">
        <v>182</v>
      </c>
      <c r="D178" s="124">
        <f t="shared" ref="D178:O178" si="31">D177+D129</f>
        <v>0</v>
      </c>
      <c r="E178" s="125">
        <f t="shared" si="31"/>
        <v>30000</v>
      </c>
      <c r="F178" s="125">
        <f t="shared" si="31"/>
        <v>30000</v>
      </c>
      <c r="G178" s="125">
        <f t="shared" si="31"/>
        <v>30000</v>
      </c>
      <c r="H178" s="125">
        <f t="shared" si="31"/>
        <v>30000</v>
      </c>
      <c r="I178" s="125">
        <f t="shared" si="31"/>
        <v>30000</v>
      </c>
      <c r="J178" s="125">
        <f t="shared" si="31"/>
        <v>30000</v>
      </c>
      <c r="K178" s="125">
        <f t="shared" si="31"/>
        <v>30000</v>
      </c>
      <c r="L178" s="125">
        <f t="shared" si="31"/>
        <v>3000</v>
      </c>
      <c r="M178" s="125">
        <f t="shared" si="31"/>
        <v>0</v>
      </c>
      <c r="N178" s="125">
        <f t="shared" si="31"/>
        <v>0</v>
      </c>
      <c r="O178" s="126">
        <f t="shared" si="31"/>
        <v>0</v>
      </c>
      <c r="P178" s="79"/>
    </row>
    <row r="179" spans="1:16" ht="15" customHeight="1" thickBot="1" x14ac:dyDescent="0.3">
      <c r="B179" s="85"/>
      <c r="D179" s="67"/>
      <c r="E179" s="115"/>
      <c r="F179" s="115"/>
      <c r="G179" s="115"/>
      <c r="H179" s="115"/>
      <c r="I179" s="115"/>
      <c r="J179" s="115"/>
      <c r="K179" s="115"/>
      <c r="L179" s="115"/>
      <c r="M179" s="115"/>
      <c r="N179" s="115"/>
      <c r="O179" s="115"/>
      <c r="P179" s="79"/>
    </row>
    <row r="180" spans="1:16" ht="15" customHeight="1" thickBot="1" x14ac:dyDescent="0.3">
      <c r="B180" s="107" t="s">
        <v>183</v>
      </c>
      <c r="D180" s="116">
        <f t="shared" ref="D180:O180" si="32">D112-D178</f>
        <v>0</v>
      </c>
      <c r="E180" s="121">
        <f t="shared" si="32"/>
        <v>-15000</v>
      </c>
      <c r="F180" s="121">
        <f t="shared" si="32"/>
        <v>-15000</v>
      </c>
      <c r="G180" s="121">
        <f t="shared" si="32"/>
        <v>-15000</v>
      </c>
      <c r="H180" s="121">
        <f t="shared" si="32"/>
        <v>35000</v>
      </c>
      <c r="I180" s="121">
        <f t="shared" si="32"/>
        <v>-15000</v>
      </c>
      <c r="J180" s="121">
        <f t="shared" si="32"/>
        <v>15000</v>
      </c>
      <c r="K180" s="121">
        <f t="shared" si="32"/>
        <v>135000</v>
      </c>
      <c r="L180" s="121">
        <f t="shared" si="32"/>
        <v>12000</v>
      </c>
      <c r="M180" s="121">
        <f t="shared" si="32"/>
        <v>0</v>
      </c>
      <c r="N180" s="121">
        <f t="shared" si="32"/>
        <v>0</v>
      </c>
      <c r="O180" s="122">
        <f t="shared" si="32"/>
        <v>0</v>
      </c>
      <c r="P180" s="79"/>
    </row>
    <row r="181" spans="1:16" ht="15" customHeight="1" thickBot="1" x14ac:dyDescent="0.3">
      <c r="B181" s="108" t="s">
        <v>207</v>
      </c>
      <c r="D181" s="116">
        <f>D180+'Données Générales'!D24</f>
        <v>80635</v>
      </c>
      <c r="E181" s="121">
        <f>E180+D181</f>
        <v>65635</v>
      </c>
      <c r="F181" s="121">
        <f t="shared" ref="F181:O181" si="33">F180+E181</f>
        <v>50635</v>
      </c>
      <c r="G181" s="121">
        <f t="shared" si="33"/>
        <v>35635</v>
      </c>
      <c r="H181" s="121">
        <f t="shared" si="33"/>
        <v>70635</v>
      </c>
      <c r="I181" s="121">
        <f t="shared" si="33"/>
        <v>55635</v>
      </c>
      <c r="J181" s="121">
        <f t="shared" si="33"/>
        <v>70635</v>
      </c>
      <c r="K181" s="121">
        <f t="shared" si="33"/>
        <v>205635</v>
      </c>
      <c r="L181" s="121">
        <f t="shared" si="33"/>
        <v>217635</v>
      </c>
      <c r="M181" s="121">
        <f t="shared" si="33"/>
        <v>217635</v>
      </c>
      <c r="N181" s="121">
        <f t="shared" si="33"/>
        <v>217635</v>
      </c>
      <c r="O181" s="122">
        <f t="shared" si="33"/>
        <v>217635</v>
      </c>
      <c r="P181" s="71"/>
    </row>
    <row r="182" spans="1:16" ht="15" customHeight="1" x14ac:dyDescent="0.25">
      <c r="B182" s="70"/>
      <c r="D182" s="71"/>
      <c r="E182" s="71"/>
      <c r="F182" s="71"/>
      <c r="G182" s="71"/>
      <c r="H182" s="71"/>
      <c r="I182" s="71"/>
      <c r="J182" s="71"/>
      <c r="K182" s="71"/>
      <c r="L182" s="71"/>
      <c r="M182" s="71"/>
      <c r="N182" s="71"/>
      <c r="O182" s="71"/>
      <c r="P182" s="71"/>
    </row>
    <row r="183" spans="1:16" ht="15" customHeight="1" thickBot="1" x14ac:dyDescent="0.3">
      <c r="B183" s="49" t="s">
        <v>208</v>
      </c>
    </row>
    <row r="184" spans="1:16" ht="15" customHeight="1" thickBot="1" x14ac:dyDescent="0.3">
      <c r="B184" s="68"/>
      <c r="C184" s="78"/>
      <c r="D184" s="118">
        <f>D67</f>
        <v>44957</v>
      </c>
      <c r="E184" s="119">
        <f t="shared" ref="E184:O184" si="34">IF(D184="","",EOMONTH(D184,1))</f>
        <v>44985</v>
      </c>
      <c r="F184" s="119">
        <f t="shared" si="34"/>
        <v>45016</v>
      </c>
      <c r="G184" s="119">
        <f t="shared" si="34"/>
        <v>45046</v>
      </c>
      <c r="H184" s="119">
        <f t="shared" si="34"/>
        <v>45077</v>
      </c>
      <c r="I184" s="119">
        <f t="shared" si="34"/>
        <v>45107</v>
      </c>
      <c r="J184" s="119">
        <f t="shared" si="34"/>
        <v>45138</v>
      </c>
      <c r="K184" s="119">
        <f t="shared" si="34"/>
        <v>45169</v>
      </c>
      <c r="L184" s="119">
        <f t="shared" si="34"/>
        <v>45199</v>
      </c>
      <c r="M184" s="119">
        <f t="shared" si="34"/>
        <v>45230</v>
      </c>
      <c r="N184" s="119">
        <f t="shared" si="34"/>
        <v>45260</v>
      </c>
      <c r="O184" s="120">
        <f t="shared" si="34"/>
        <v>45291</v>
      </c>
    </row>
    <row r="185" spans="1:16" ht="15" customHeight="1" x14ac:dyDescent="0.25">
      <c r="B185" s="100" t="s">
        <v>184</v>
      </c>
      <c r="C185" s="78"/>
      <c r="D185" s="502">
        <f>SUM(D84:D90)-SUM(D84:D90)/(1+'Données Générales'!$D$15)</f>
        <v>0</v>
      </c>
      <c r="E185" s="503">
        <f>SUM(E84:E90)-SUM(E84:E90)/(1+'Données Générales'!$D$15)</f>
        <v>0</v>
      </c>
      <c r="F185" s="503">
        <f>SUM(F84:F90)-SUM(F84:F90)/(1+'Données Générales'!$D$15)</f>
        <v>0</v>
      </c>
      <c r="G185" s="503">
        <f>SUM(G84:G90)-SUM(G84:G90)/(1+'Données Générales'!$D$15)</f>
        <v>0</v>
      </c>
      <c r="H185" s="503">
        <f>SUM(H84:H90)-SUM(H84:H90)/(1+'Données Générales'!$D$15)</f>
        <v>0</v>
      </c>
      <c r="I185" s="503">
        <f>SUM(I84:I90)-SUM(I84:I90)/(1+'Données Générales'!$D$15)</f>
        <v>0</v>
      </c>
      <c r="J185" s="503">
        <f>SUM(J84:J90)-SUM(J84:J90)/(1+'Données Générales'!$D$15)</f>
        <v>0</v>
      </c>
      <c r="K185" s="503">
        <f>SUM(K84:K90)-SUM(K84:K90)/(1+'Données Générales'!$D$15)</f>
        <v>0</v>
      </c>
      <c r="L185" s="503">
        <f>SUM(L84:L90)-SUM(L84:L90)/(1+'Données Générales'!$D$15)</f>
        <v>0</v>
      </c>
      <c r="M185" s="503">
        <f>SUM(M84:M90)-SUM(M84:M90)/(1+'Données Générales'!$D$15)</f>
        <v>0</v>
      </c>
      <c r="N185" s="503">
        <f>SUM(N84:N90)-SUM(N84:N90)/(1+'Données Générales'!$D$15)</f>
        <v>0</v>
      </c>
      <c r="O185" s="504">
        <f>SUM(O84:O90)-SUM(O84:O90)/(1+'Données Générales'!$D$15)</f>
        <v>0</v>
      </c>
    </row>
    <row r="186" spans="1:16" ht="15" customHeight="1" x14ac:dyDescent="0.25">
      <c r="B186" s="101" t="s">
        <v>185</v>
      </c>
      <c r="C186" s="75"/>
      <c r="D186" s="505">
        <f>D106-D106/(1+'Données Générales'!$D$17)</f>
        <v>0</v>
      </c>
      <c r="E186" s="506">
        <f>E106-E106/(1+'Données Générales'!$D$17)</f>
        <v>0</v>
      </c>
      <c r="F186" s="506">
        <f>F106-F106/(1+'Données Générales'!$D$17)</f>
        <v>0</v>
      </c>
      <c r="G186" s="506">
        <f>G106-G106/(1+'Données Générales'!$D$17)</f>
        <v>0</v>
      </c>
      <c r="H186" s="506">
        <f>H106-H106/(1+'Données Générales'!$D$17)</f>
        <v>0</v>
      </c>
      <c r="I186" s="506">
        <f>I106-I106/(1+'Données Générales'!$D$17)</f>
        <v>0</v>
      </c>
      <c r="J186" s="506">
        <f>J106-J106/(1+'Données Générales'!$D$17)</f>
        <v>0</v>
      </c>
      <c r="K186" s="506">
        <f>K106-K106/(1+'Données Générales'!$D$17)</f>
        <v>0</v>
      </c>
      <c r="L186" s="506">
        <f>L106-L106/(1+'Données Générales'!$D$17)</f>
        <v>0</v>
      </c>
      <c r="M186" s="506">
        <f>M106-M106/(1+'Données Générales'!$D$17)</f>
        <v>0</v>
      </c>
      <c r="N186" s="506">
        <f>N106-N106/(1+'Données Générales'!$D$17)</f>
        <v>0</v>
      </c>
      <c r="O186" s="507">
        <f>O106-O106/(1+'Données Générales'!$D$17)</f>
        <v>0</v>
      </c>
    </row>
    <row r="187" spans="1:16" ht="15" customHeight="1" x14ac:dyDescent="0.25">
      <c r="B187" s="101" t="s">
        <v>186</v>
      </c>
      <c r="D187" s="508">
        <f>(D131+D138)-(D131+D138)/(1+'Données Générales'!$D$16)</f>
        <v>0</v>
      </c>
      <c r="E187" s="506">
        <f>(E131+E138)-(E131+E138)/(1+'Données Générales'!$D$16)</f>
        <v>0</v>
      </c>
      <c r="F187" s="506">
        <f>(F131+F138)-(F131+F138)/(1+'Données Générales'!$D$16)</f>
        <v>0</v>
      </c>
      <c r="G187" s="506">
        <f>(G131+G138)-(G131+G138)/(1+'Données Générales'!$D$16)</f>
        <v>0</v>
      </c>
      <c r="H187" s="506">
        <f>(H131+H138)-(H131+H138)/(1+'Données Générales'!$D$16)</f>
        <v>0</v>
      </c>
      <c r="I187" s="506">
        <f>(I131+I138)-(I131+I138)/(1+'Données Générales'!$D$16)</f>
        <v>0</v>
      </c>
      <c r="J187" s="506">
        <f>(J131+J138)-(J131+J138)/(1+'Données Générales'!$D$16)</f>
        <v>0</v>
      </c>
      <c r="K187" s="506">
        <f>(K131+K138)-(K131+K138)/(1+'Données Générales'!$D$16)</f>
        <v>0</v>
      </c>
      <c r="L187" s="506">
        <f>(L131+L138)-(L131+L138)/(1+'Données Générales'!$D$16)</f>
        <v>0</v>
      </c>
      <c r="M187" s="506">
        <f>(M131+M138)-(M131+M138)/(1+'Données Générales'!$D$16)</f>
        <v>0</v>
      </c>
      <c r="N187" s="506">
        <f>(N131+N138)-(N131+N138)/(1+'Données Générales'!$D$16)</f>
        <v>0</v>
      </c>
      <c r="O187" s="507">
        <f>(O131+O138)-(O131+O138)/(1+'Données Générales'!$D$16)</f>
        <v>0</v>
      </c>
    </row>
    <row r="188" spans="1:16" ht="15" customHeight="1" x14ac:dyDescent="0.25">
      <c r="B188" s="101" t="s">
        <v>187</v>
      </c>
      <c r="D188" s="505">
        <f>D122-D122/(1+'Données Générales'!$D$17)</f>
        <v>0</v>
      </c>
      <c r="E188" s="506">
        <f>E122-E122/(1+'Données Générales'!$D$17)</f>
        <v>0</v>
      </c>
      <c r="F188" s="506">
        <f>F122-F122/(1+'Données Générales'!$D$17)</f>
        <v>0</v>
      </c>
      <c r="G188" s="506">
        <f>G122-G122/(1+'Données Générales'!$D$17)</f>
        <v>0</v>
      </c>
      <c r="H188" s="506">
        <f>H122-H122/(1+'Données Générales'!$D$17)</f>
        <v>0</v>
      </c>
      <c r="I188" s="506">
        <f>I122-I122/(1+'Données Générales'!$D$17)</f>
        <v>0</v>
      </c>
      <c r="J188" s="506">
        <f>J122-J122/(1+'Données Générales'!$D$17)</f>
        <v>0</v>
      </c>
      <c r="K188" s="506">
        <f>K122-K122/(1+'Données Générales'!$D$17)</f>
        <v>0</v>
      </c>
      <c r="L188" s="506">
        <f>L122-L122/(1+'Données Générales'!$D$17)</f>
        <v>0</v>
      </c>
      <c r="M188" s="506">
        <f>M122-M122/(1+'Données Générales'!$D$17)</f>
        <v>0</v>
      </c>
      <c r="N188" s="506">
        <f>N122-N122/(1+'Données Générales'!$D$17)</f>
        <v>0</v>
      </c>
      <c r="O188" s="507">
        <f>O122-O122/(1+'Données Générales'!$D$17)</f>
        <v>0</v>
      </c>
    </row>
    <row r="189" spans="1:16" ht="15" customHeight="1" x14ac:dyDescent="0.25">
      <c r="B189" s="101" t="s">
        <v>188</v>
      </c>
      <c r="D189" s="509">
        <f>IF(D185+D186-D187-D188&gt;0,D185+D186-D187-D188,0)</f>
        <v>0</v>
      </c>
      <c r="E189" s="510">
        <f t="shared" ref="E189:O189" si="35">IF(E185+E186-E187-E188-D190&gt;0,E185+E186-E187-E188-D190,0)</f>
        <v>0</v>
      </c>
      <c r="F189" s="510">
        <f t="shared" si="35"/>
        <v>0</v>
      </c>
      <c r="G189" s="510">
        <f t="shared" si="35"/>
        <v>0</v>
      </c>
      <c r="H189" s="510">
        <f t="shared" si="35"/>
        <v>0</v>
      </c>
      <c r="I189" s="510">
        <f t="shared" si="35"/>
        <v>0</v>
      </c>
      <c r="J189" s="510">
        <f t="shared" si="35"/>
        <v>0</v>
      </c>
      <c r="K189" s="510">
        <f t="shared" si="35"/>
        <v>0</v>
      </c>
      <c r="L189" s="510">
        <f t="shared" si="35"/>
        <v>0</v>
      </c>
      <c r="M189" s="510">
        <f t="shared" si="35"/>
        <v>0</v>
      </c>
      <c r="N189" s="510">
        <f t="shared" si="35"/>
        <v>0</v>
      </c>
      <c r="O189" s="511">
        <f t="shared" si="35"/>
        <v>0</v>
      </c>
    </row>
    <row r="190" spans="1:16" ht="15" customHeight="1" thickBot="1" x14ac:dyDescent="0.3">
      <c r="B190" s="117" t="s">
        <v>189</v>
      </c>
      <c r="D190" s="512">
        <f>IF(D185+D186-D187-D188&lt;0,-(D185+D186-D187-D188),0)</f>
        <v>0</v>
      </c>
      <c r="E190" s="513">
        <f t="shared" ref="E190:O190" si="36">IF(E185+E186-E187-E188-D190&lt;0,-(E185+E186-E187-E188-D190),0)</f>
        <v>0</v>
      </c>
      <c r="F190" s="513">
        <f t="shared" si="36"/>
        <v>0</v>
      </c>
      <c r="G190" s="513">
        <f t="shared" si="36"/>
        <v>0</v>
      </c>
      <c r="H190" s="513">
        <f t="shared" si="36"/>
        <v>0</v>
      </c>
      <c r="I190" s="513">
        <f t="shared" si="36"/>
        <v>0</v>
      </c>
      <c r="J190" s="513">
        <f t="shared" si="36"/>
        <v>0</v>
      </c>
      <c r="K190" s="513">
        <f t="shared" si="36"/>
        <v>0</v>
      </c>
      <c r="L190" s="513">
        <f t="shared" si="36"/>
        <v>0</v>
      </c>
      <c r="M190" s="513">
        <f t="shared" si="36"/>
        <v>0</v>
      </c>
      <c r="N190" s="513">
        <f t="shared" si="36"/>
        <v>0</v>
      </c>
      <c r="O190" s="514">
        <f t="shared" si="36"/>
        <v>0</v>
      </c>
    </row>
    <row r="191" spans="1:16" ht="15" customHeight="1" thickBot="1" x14ac:dyDescent="0.3">
      <c r="B191" s="99" t="s">
        <v>190</v>
      </c>
      <c r="D191" s="515">
        <f>'Données Générales'!$D$18</f>
        <v>0</v>
      </c>
      <c r="E191" s="516">
        <f>IF(D189&gt;D190,D189-D190,0)</f>
        <v>0</v>
      </c>
      <c r="F191" s="516">
        <f>IF(E189&gt;E190,E189-E190,0)</f>
        <v>0</v>
      </c>
      <c r="G191" s="516">
        <f t="shared" ref="G191:O191" si="37">IF(F189&gt;F190,F189-F190,0)</f>
        <v>0</v>
      </c>
      <c r="H191" s="516">
        <f t="shared" si="37"/>
        <v>0</v>
      </c>
      <c r="I191" s="516">
        <f t="shared" si="37"/>
        <v>0</v>
      </c>
      <c r="J191" s="516">
        <f t="shared" si="37"/>
        <v>0</v>
      </c>
      <c r="K191" s="516">
        <f t="shared" si="37"/>
        <v>0</v>
      </c>
      <c r="L191" s="516">
        <f t="shared" si="37"/>
        <v>0</v>
      </c>
      <c r="M191" s="516">
        <f t="shared" si="37"/>
        <v>0</v>
      </c>
      <c r="N191" s="516">
        <f t="shared" si="37"/>
        <v>0</v>
      </c>
      <c r="O191" s="517">
        <f t="shared" si="37"/>
        <v>0</v>
      </c>
    </row>
    <row r="192" spans="1:16" ht="15" customHeight="1" x14ac:dyDescent="0.25">
      <c r="D192" s="63"/>
      <c r="E192" s="63"/>
      <c r="F192" s="63"/>
      <c r="G192" s="63"/>
      <c r="H192" s="63"/>
      <c r="I192" s="63"/>
      <c r="J192" s="63"/>
      <c r="K192" s="63"/>
      <c r="L192" s="63"/>
      <c r="M192" s="63"/>
      <c r="N192" s="63"/>
    </row>
    <row r="202" spans="4:14" ht="15" customHeight="1" x14ac:dyDescent="0.25">
      <c r="D202" s="63"/>
      <c r="E202" s="63"/>
      <c r="F202" s="63"/>
      <c r="G202" s="63"/>
      <c r="H202" s="63"/>
      <c r="I202" s="63"/>
      <c r="J202" s="63"/>
      <c r="K202" s="63"/>
      <c r="L202" s="63"/>
      <c r="M202" s="63"/>
      <c r="N202" s="63"/>
    </row>
    <row r="203" spans="4:14" ht="15" customHeight="1" x14ac:dyDescent="0.25">
      <c r="D203" s="63"/>
      <c r="E203" s="63"/>
      <c r="F203" s="63"/>
      <c r="G203" s="63"/>
      <c r="H203" s="63"/>
      <c r="I203" s="63"/>
      <c r="J203" s="63"/>
      <c r="K203" s="63"/>
      <c r="L203" s="63"/>
      <c r="M203" s="63"/>
      <c r="N203" s="63"/>
    </row>
    <row r="234" spans="2:2" ht="15" customHeight="1" x14ac:dyDescent="0.25">
      <c r="B234" s="49"/>
    </row>
    <row r="245" spans="2:4" ht="15" customHeight="1" x14ac:dyDescent="0.25">
      <c r="D245" s="65"/>
    </row>
    <row r="246" spans="2:4" ht="15" customHeight="1" x14ac:dyDescent="0.25">
      <c r="D246" s="41"/>
    </row>
    <row r="250" spans="2:4" ht="15" customHeight="1" x14ac:dyDescent="0.25">
      <c r="B250" s="80"/>
    </row>
    <row r="251" spans="2:4" ht="15" customHeight="1" x14ac:dyDescent="0.25">
      <c r="D251" s="65"/>
    </row>
    <row r="256" spans="2:4" ht="15" customHeight="1" x14ac:dyDescent="0.25">
      <c r="B256" s="81"/>
    </row>
    <row r="259" spans="2:4" ht="15" customHeight="1" x14ac:dyDescent="0.25">
      <c r="D259" s="65"/>
    </row>
    <row r="262" spans="2:4" ht="15" customHeight="1" x14ac:dyDescent="0.25">
      <c r="B262" s="82"/>
    </row>
    <row r="264" spans="2:4" ht="15" customHeight="1" x14ac:dyDescent="0.25">
      <c r="B264" s="81"/>
    </row>
    <row r="266" spans="2:4" ht="15" customHeight="1" x14ac:dyDescent="0.25">
      <c r="B266" s="82"/>
      <c r="D266" s="53"/>
    </row>
    <row r="267" spans="2:4" ht="15" customHeight="1" x14ac:dyDescent="0.25">
      <c r="B267" s="82"/>
    </row>
    <row r="268" spans="2:4" ht="15" customHeight="1" x14ac:dyDescent="0.25">
      <c r="B268" s="82"/>
    </row>
    <row r="269" spans="2:4" ht="15" customHeight="1" x14ac:dyDescent="0.25">
      <c r="B269" s="82"/>
    </row>
    <row r="271" spans="2:4" ht="15" customHeight="1" x14ac:dyDescent="0.25">
      <c r="B271" s="49"/>
    </row>
    <row r="274" spans="2:2" ht="15" customHeight="1" x14ac:dyDescent="0.25">
      <c r="B274" s="80"/>
    </row>
    <row r="279" spans="2:2" ht="15" customHeight="1" x14ac:dyDescent="0.25">
      <c r="B279" s="64"/>
    </row>
    <row r="280" spans="2:2" ht="15" customHeight="1" x14ac:dyDescent="0.25">
      <c r="B280" s="64"/>
    </row>
  </sheetData>
  <mergeCells count="12">
    <mergeCell ref="I33:J33"/>
    <mergeCell ref="D5:G6"/>
    <mergeCell ref="G7:G8"/>
    <mergeCell ref="D7:D8"/>
    <mergeCell ref="E7:E8"/>
    <mergeCell ref="I6:J6"/>
    <mergeCell ref="F7:F8"/>
    <mergeCell ref="F48:F49"/>
    <mergeCell ref="D48:D49"/>
    <mergeCell ref="D46:G47"/>
    <mergeCell ref="E48:E49"/>
    <mergeCell ref="G48:G49"/>
  </mergeCells>
  <pageMargins left="0.31496062992125984" right="0.31496062992125984" top="0.35433070866141736" bottom="0.35433070866141736" header="0.31496062992125984" footer="0.31496062992125984"/>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3FFD0B6-19C9-4AF3-A06E-AA6E0BF9DFE1}">
            <xm:f>IF('Données Générales'!$D$7="Non fiscalisée",TRUE,FALSE)</xm:f>
            <x14:dxf>
              <font>
                <color theme="7" tint="-0.24994659260841701"/>
              </font>
              <fill>
                <patternFill>
                  <bgColor theme="7" tint="-0.24994659260841701"/>
                </patternFill>
              </fill>
            </x14:dxf>
          </x14:cfRule>
          <xm:sqref>A51:A61</xm:sqref>
        </x14:conditionalFormatting>
        <x14:conditionalFormatting xmlns:xm="http://schemas.microsoft.com/office/excel/2006/main">
          <x14:cfRule type="expression" priority="2" id="{1276AEA0-332E-42F7-ADCF-39EF4518562F}">
            <xm:f>IF('Données Générales'!$D$7="Non fiscalisée",TRUE,FALSE)</xm:f>
            <x14:dxf>
              <font>
                <color theme="7" tint="-0.24994659260841701"/>
              </font>
              <fill>
                <patternFill>
                  <bgColor theme="7" tint="-0.24994659260841701"/>
                </patternFill>
              </fill>
            </x14:dxf>
          </x14:cfRule>
          <xm:sqref>B59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Feuil1!$D$3:$D$7</xm:f>
          </x14:formula1>
          <xm:sqref>F10:F25 F28:F35 F38:F39 F42:F43 F51:F61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V170"/>
  <sheetViews>
    <sheetView topLeftCell="A10" zoomScale="80" zoomScaleNormal="80" workbookViewId="0">
      <selection activeCell="D30" sqref="D30"/>
    </sheetView>
  </sheetViews>
  <sheetFormatPr baseColWidth="10" defaultColWidth="11.453125" defaultRowHeight="12.5" x14ac:dyDescent="0.25"/>
  <cols>
    <col min="1" max="1" width="13" style="22" customWidth="1"/>
    <col min="2" max="2" width="43.08984375" style="22" customWidth="1"/>
    <col min="3" max="3" width="3.08984375" style="22" customWidth="1"/>
    <col min="4" max="6" width="17.453125" style="22" customWidth="1"/>
    <col min="7" max="7" width="15.453125" style="22" customWidth="1"/>
    <col min="8" max="8" width="22.453125" style="22" customWidth="1"/>
    <col min="9" max="9" width="13.453125" style="22" customWidth="1"/>
    <col min="10" max="11" width="11.453125" style="22"/>
    <col min="12" max="12" width="10.453125" style="22" customWidth="1"/>
    <col min="13" max="13" width="12.08984375" style="22" bestFit="1" customWidth="1"/>
    <col min="14" max="15" width="12" style="22" bestFit="1" customWidth="1"/>
    <col min="16" max="16384" width="11.453125" style="22"/>
  </cols>
  <sheetData>
    <row r="4" spans="2:11" x14ac:dyDescent="0.25">
      <c r="B4" s="49" t="s">
        <v>356</v>
      </c>
      <c r="C4" s="53"/>
      <c r="D4" s="53"/>
      <c r="E4" s="53"/>
      <c r="F4" s="53"/>
      <c r="G4" s="53"/>
    </row>
    <row r="5" spans="2:11" ht="13" thickBot="1" x14ac:dyDescent="0.3"/>
    <row r="6" spans="2:11" ht="14" customHeight="1" thickBot="1" x14ac:dyDescent="0.3">
      <c r="B6" s="197" t="s">
        <v>263</v>
      </c>
      <c r="D6" s="198">
        <f>D15</f>
        <v>2023</v>
      </c>
      <c r="E6" s="198">
        <f t="shared" ref="E6:F6" si="0">E15</f>
        <v>2024</v>
      </c>
      <c r="F6" s="199">
        <f t="shared" si="0"/>
        <v>2025</v>
      </c>
      <c r="H6" s="277" t="s">
        <v>245</v>
      </c>
      <c r="I6" s="278"/>
    </row>
    <row r="7" spans="2:11" ht="13" thickBot="1" x14ac:dyDescent="0.3">
      <c r="B7" s="193"/>
      <c r="D7" s="194"/>
    </row>
    <row r="8" spans="2:11" x14ac:dyDescent="0.25">
      <c r="B8" s="59" t="s">
        <v>157</v>
      </c>
      <c r="D8" s="539">
        <v>10000</v>
      </c>
      <c r="E8" s="534">
        <v>3000</v>
      </c>
      <c r="F8" s="540">
        <v>3200</v>
      </c>
      <c r="H8" s="603">
        <v>5</v>
      </c>
      <c r="I8" s="22" t="s">
        <v>282</v>
      </c>
    </row>
    <row r="9" spans="2:11" x14ac:dyDescent="0.25">
      <c r="B9" s="33" t="s">
        <v>158</v>
      </c>
      <c r="D9" s="389">
        <v>3500</v>
      </c>
      <c r="E9" s="390">
        <v>0</v>
      </c>
      <c r="F9" s="391">
        <v>0</v>
      </c>
      <c r="H9" s="604">
        <v>3</v>
      </c>
      <c r="I9" s="22" t="s">
        <v>282</v>
      </c>
    </row>
    <row r="10" spans="2:11" x14ac:dyDescent="0.25">
      <c r="B10" s="33" t="s">
        <v>160</v>
      </c>
      <c r="D10" s="389">
        <v>0</v>
      </c>
      <c r="E10" s="390">
        <v>0</v>
      </c>
      <c r="F10" s="391">
        <v>45000</v>
      </c>
      <c r="H10" s="604">
        <v>10</v>
      </c>
      <c r="I10" s="22" t="s">
        <v>282</v>
      </c>
    </row>
    <row r="11" spans="2:11" x14ac:dyDescent="0.25">
      <c r="B11" s="33" t="s">
        <v>159</v>
      </c>
      <c r="D11" s="389">
        <v>15000</v>
      </c>
      <c r="E11" s="390">
        <v>2000</v>
      </c>
      <c r="F11" s="391">
        <v>0</v>
      </c>
      <c r="H11" s="604">
        <v>5</v>
      </c>
      <c r="I11" s="22" t="s">
        <v>282</v>
      </c>
    </row>
    <row r="12" spans="2:11" ht="13" thickBot="1" x14ac:dyDescent="0.3">
      <c r="B12" s="60" t="s">
        <v>155</v>
      </c>
      <c r="D12" s="541">
        <v>0</v>
      </c>
      <c r="E12" s="535">
        <v>0</v>
      </c>
      <c r="F12" s="542">
        <v>0</v>
      </c>
      <c r="H12" s="605"/>
    </row>
    <row r="13" spans="2:11" ht="13" thickBot="1" x14ac:dyDescent="0.3">
      <c r="B13" s="552" t="s">
        <v>39</v>
      </c>
      <c r="D13" s="347">
        <f>SUM(D8:D12)</f>
        <v>28500</v>
      </c>
      <c r="E13" s="348">
        <f t="shared" ref="E13:F13" si="1">SUM(E8:E12)</f>
        <v>5000</v>
      </c>
      <c r="F13" s="349">
        <f t="shared" si="1"/>
        <v>48200</v>
      </c>
    </row>
    <row r="14" spans="2:11" ht="13" thickBot="1" x14ac:dyDescent="0.3">
      <c r="J14" s="824"/>
      <c r="K14" s="824"/>
    </row>
    <row r="15" spans="2:11" ht="13" thickBot="1" x14ac:dyDescent="0.3">
      <c r="B15" s="197" t="s">
        <v>246</v>
      </c>
      <c r="D15" s="198">
        <f>'Saisie budget prévisionnel'!E65</f>
        <v>2023</v>
      </c>
      <c r="E15" s="198">
        <f>'Saisie budget prévisionnel'!F65</f>
        <v>2024</v>
      </c>
      <c r="F15" s="199">
        <f>'Saisie budget prévisionnel'!G65</f>
        <v>2025</v>
      </c>
    </row>
    <row r="16" spans="2:11" ht="13" thickBot="1" x14ac:dyDescent="0.3"/>
    <row r="17" spans="2:22" x14ac:dyDescent="0.25">
      <c r="B17" s="59" t="s">
        <v>157</v>
      </c>
      <c r="D17" s="543">
        <f t="shared" ref="D17:D20" si="2">IF(OR(D8="",$H8=""),"0",D8*(1/$H8))</f>
        <v>2000</v>
      </c>
      <c r="E17" s="544">
        <f t="shared" ref="E17:E20" si="3">IF(OR(D8="",$H8=""),"0",D8*(1/$H8))+IF(OR(E8="",$H8=""),"0",E8*(1/$H8))</f>
        <v>2600</v>
      </c>
      <c r="F17" s="545">
        <f t="shared" ref="F17:F20" si="4">IF(OR(E8="",$H8=""),"0",E8*(1/$H8))+IF(OR(F8="",$H8=""),"0",F8*(1/$H8))+IF(OR(D8="",$H8=""),"0",D8*(1/$H8))</f>
        <v>3240</v>
      </c>
    </row>
    <row r="18" spans="2:22" x14ac:dyDescent="0.25">
      <c r="B18" s="33" t="s">
        <v>158</v>
      </c>
      <c r="D18" s="546">
        <f t="shared" si="2"/>
        <v>1166.6666666666665</v>
      </c>
      <c r="E18" s="547">
        <f t="shared" si="3"/>
        <v>1166.6666666666665</v>
      </c>
      <c r="F18" s="548">
        <f t="shared" si="4"/>
        <v>1166.6666666666665</v>
      </c>
    </row>
    <row r="19" spans="2:22" ht="12.5" customHeight="1" x14ac:dyDescent="0.25">
      <c r="B19" s="33" t="s">
        <v>160</v>
      </c>
      <c r="D19" s="546">
        <f t="shared" si="2"/>
        <v>0</v>
      </c>
      <c r="E19" s="547">
        <f t="shared" si="3"/>
        <v>0</v>
      </c>
      <c r="F19" s="548">
        <f t="shared" si="4"/>
        <v>4500</v>
      </c>
      <c r="J19" s="81"/>
      <c r="K19" s="81"/>
      <c r="L19" s="139"/>
      <c r="M19" s="154"/>
      <c r="N19" s="154"/>
      <c r="O19" s="154"/>
      <c r="P19" s="154"/>
      <c r="Q19" s="154"/>
      <c r="R19" s="154"/>
      <c r="S19" s="154"/>
      <c r="T19" s="154"/>
      <c r="U19" s="154"/>
      <c r="V19" s="154"/>
    </row>
    <row r="20" spans="2:22" x14ac:dyDescent="0.25">
      <c r="B20" s="33" t="s">
        <v>159</v>
      </c>
      <c r="D20" s="546">
        <f t="shared" si="2"/>
        <v>3000</v>
      </c>
      <c r="E20" s="547">
        <f t="shared" si="3"/>
        <v>3400</v>
      </c>
      <c r="F20" s="548">
        <f t="shared" si="4"/>
        <v>3400</v>
      </c>
      <c r="L20" s="194"/>
      <c r="M20" s="194"/>
      <c r="N20" s="194"/>
      <c r="O20" s="194"/>
      <c r="P20" s="194"/>
      <c r="Q20" s="194"/>
      <c r="R20" s="194"/>
      <c r="S20" s="194"/>
      <c r="T20" s="194"/>
      <c r="U20" s="194"/>
      <c r="V20" s="194"/>
    </row>
    <row r="21" spans="2:22" ht="13" thickBot="1" x14ac:dyDescent="0.3">
      <c r="B21" s="60" t="s">
        <v>155</v>
      </c>
      <c r="D21" s="549" t="str">
        <f>IF(OR(D12="",$H12=""),"0",D12*(1/$H12))</f>
        <v>0</v>
      </c>
      <c r="E21" s="550">
        <f>IF(OR(D12="",$H12=""),"0",D12*(1/$H12))+IF(OR(E12="",$H12=""),"0",E12*(1/$H12))</f>
        <v>0</v>
      </c>
      <c r="F21" s="551">
        <f>IF(OR(E12="",$H12=""),"0",E12*(1/$H12))+IF(OR(F12="",$H12=""),"0",F12*(1/$H12))+IF(OR(D12="",$H12=""),"0",D12*(1/$H12))</f>
        <v>0</v>
      </c>
      <c r="J21" s="824"/>
      <c r="K21" s="824"/>
      <c r="L21" s="205"/>
      <c r="M21" s="205"/>
      <c r="N21" s="205"/>
      <c r="O21" s="205"/>
      <c r="P21" s="205"/>
      <c r="Q21" s="205"/>
      <c r="R21" s="205"/>
      <c r="S21" s="205"/>
      <c r="T21" s="205"/>
      <c r="U21" s="205"/>
      <c r="V21" s="205"/>
    </row>
    <row r="22" spans="2:22" ht="13" thickBot="1" x14ac:dyDescent="0.3">
      <c r="B22" s="552" t="s">
        <v>39</v>
      </c>
      <c r="D22" s="347">
        <f>SUM(D17:D21)</f>
        <v>6166.6666666666661</v>
      </c>
      <c r="E22" s="348">
        <f t="shared" ref="E22" si="5">SUM(E17:E21)</f>
        <v>7166.6666666666661</v>
      </c>
      <c r="F22" s="349">
        <f t="shared" ref="F22" si="6">SUM(F17:F21)</f>
        <v>12306.666666666666</v>
      </c>
      <c r="J22" s="824"/>
      <c r="K22" s="824"/>
      <c r="L22" s="205"/>
      <c r="M22" s="205"/>
      <c r="N22" s="205"/>
      <c r="O22" s="205"/>
      <c r="P22" s="205"/>
      <c r="Q22" s="205"/>
      <c r="R22" s="205"/>
      <c r="S22" s="205"/>
      <c r="T22" s="205"/>
      <c r="U22" s="205"/>
      <c r="V22" s="205"/>
    </row>
    <row r="23" spans="2:22" x14ac:dyDescent="0.25">
      <c r="J23" s="824"/>
      <c r="K23" s="824"/>
      <c r="L23" s="205"/>
      <c r="M23" s="205"/>
      <c r="N23" s="205"/>
      <c r="O23" s="205"/>
      <c r="P23" s="205"/>
      <c r="Q23" s="205"/>
      <c r="R23" s="205"/>
      <c r="S23" s="205"/>
      <c r="T23" s="205"/>
      <c r="U23" s="205"/>
      <c r="V23" s="205"/>
    </row>
    <row r="24" spans="2:22" x14ac:dyDescent="0.25">
      <c r="B24" s="49" t="s">
        <v>346</v>
      </c>
      <c r="C24" s="53"/>
      <c r="D24" s="53"/>
      <c r="E24" s="53"/>
      <c r="F24" s="53"/>
      <c r="G24" s="53"/>
    </row>
    <row r="25" spans="2:22" ht="15" customHeight="1" thickBot="1" x14ac:dyDescent="0.3"/>
    <row r="26" spans="2:22" ht="13" thickBot="1" x14ac:dyDescent="0.3">
      <c r="B26" s="146" t="s">
        <v>247</v>
      </c>
      <c r="D26" s="202">
        <f>D6</f>
        <v>2023</v>
      </c>
      <c r="E26" s="203">
        <f t="shared" ref="E26:F26" si="7">E6</f>
        <v>2024</v>
      </c>
      <c r="F26" s="204">
        <f t="shared" si="7"/>
        <v>2025</v>
      </c>
      <c r="H26" s="274" t="s">
        <v>272</v>
      </c>
      <c r="I26" s="272"/>
      <c r="J26" s="273"/>
    </row>
    <row r="27" spans="2:22" ht="13" thickBot="1" x14ac:dyDescent="0.3">
      <c r="H27" s="650">
        <f>'Saisie comptes'!F4</f>
        <v>2020</v>
      </c>
      <c r="I27" s="651">
        <f>'Saisie comptes'!G4</f>
        <v>2021</v>
      </c>
      <c r="J27" s="652">
        <f>'Saisie comptes'!H4</f>
        <v>2022</v>
      </c>
    </row>
    <row r="28" spans="2:22" ht="13" thickBot="1" x14ac:dyDescent="0.3">
      <c r="B28" s="214" t="s">
        <v>260</v>
      </c>
      <c r="D28" s="555">
        <v>0.01</v>
      </c>
      <c r="E28" s="556">
        <v>0.02</v>
      </c>
      <c r="F28" s="557">
        <v>0.01</v>
      </c>
      <c r="H28" s="653" t="e">
        <f>'Saisie comptes'!F10/'Saisie comptes'!F49</f>
        <v>#DIV/0!</v>
      </c>
      <c r="I28" s="654" t="e">
        <f>'Saisie comptes'!G10/'Saisie comptes'!G49</f>
        <v>#DIV/0!</v>
      </c>
      <c r="J28" s="655" t="e">
        <f>'Saisie comptes'!H10/'Saisie comptes'!H49</f>
        <v>#DIV/0!</v>
      </c>
    </row>
    <row r="29" spans="2:22" x14ac:dyDescent="0.25">
      <c r="B29" s="213" t="s">
        <v>264</v>
      </c>
      <c r="D29" s="546">
        <f>'Saisie budget prévisionnel'!E67*'Saisie plan de financement'!D28</f>
        <v>610.88638589618029</v>
      </c>
      <c r="E29" s="547">
        <f>'Saisie budget prévisionnel'!F67*'Saisie plan de financement'!E28</f>
        <v>888</v>
      </c>
      <c r="F29" s="548">
        <f>'Saisie budget prévisionnel'!G67*'Saisie plan de financement'!F28</f>
        <v>955</v>
      </c>
      <c r="H29" s="219"/>
      <c r="I29" s="219"/>
      <c r="J29" s="219"/>
    </row>
    <row r="30" spans="2:22" x14ac:dyDescent="0.25">
      <c r="B30" s="213" t="s">
        <v>261</v>
      </c>
      <c r="D30" s="754" t="e">
        <f>D29/'Saisie budget prévisionnel'!E77*360</f>
        <v>#DIV/0!</v>
      </c>
      <c r="E30" s="553" t="e">
        <f>E29/'Saisie budget prévisionnel'!F77*360</f>
        <v>#DIV/0!</v>
      </c>
      <c r="F30" s="554" t="e">
        <f>F29/'Saisie budget prévisionnel'!G77*360</f>
        <v>#DIV/0!</v>
      </c>
    </row>
    <row r="31" spans="2:22" x14ac:dyDescent="0.25">
      <c r="B31" s="213" t="s">
        <v>250</v>
      </c>
      <c r="D31" s="558">
        <v>80</v>
      </c>
      <c r="E31" s="559">
        <v>80</v>
      </c>
      <c r="F31" s="560">
        <v>80</v>
      </c>
    </row>
    <row r="32" spans="2:22" x14ac:dyDescent="0.25">
      <c r="B32" s="213" t="s">
        <v>251</v>
      </c>
      <c r="D32" s="558">
        <v>20</v>
      </c>
      <c r="E32" s="559">
        <v>30</v>
      </c>
      <c r="F32" s="560">
        <v>60</v>
      </c>
    </row>
    <row r="33" spans="2:6" ht="15" customHeight="1" x14ac:dyDescent="0.25">
      <c r="B33" s="213" t="s">
        <v>252</v>
      </c>
      <c r="D33" s="558">
        <v>70</v>
      </c>
      <c r="E33" s="559">
        <v>80</v>
      </c>
      <c r="F33" s="560">
        <v>80</v>
      </c>
    </row>
    <row r="34" spans="2:6" x14ac:dyDescent="0.25">
      <c r="B34" s="213" t="s">
        <v>256</v>
      </c>
      <c r="D34" s="558">
        <v>34</v>
      </c>
      <c r="E34" s="559">
        <v>50</v>
      </c>
      <c r="F34" s="560">
        <v>50</v>
      </c>
    </row>
    <row r="35" spans="2:6" ht="13" thickBot="1" x14ac:dyDescent="0.3">
      <c r="B35" s="215" t="s">
        <v>257</v>
      </c>
      <c r="D35" s="561">
        <v>40</v>
      </c>
      <c r="E35" s="562">
        <v>40</v>
      </c>
      <c r="F35" s="563">
        <v>40</v>
      </c>
    </row>
    <row r="36" spans="2:6" ht="13" thickBot="1" x14ac:dyDescent="0.3">
      <c r="D36" s="216"/>
      <c r="E36" s="216"/>
      <c r="F36" s="216"/>
    </row>
    <row r="37" spans="2:6" x14ac:dyDescent="0.25">
      <c r="B37" s="195" t="s">
        <v>15</v>
      </c>
      <c r="D37" s="564">
        <v>56</v>
      </c>
      <c r="E37" s="565">
        <v>35</v>
      </c>
      <c r="F37" s="566">
        <v>60</v>
      </c>
    </row>
    <row r="38" spans="2:6" x14ac:dyDescent="0.25">
      <c r="B38" s="196" t="s">
        <v>253</v>
      </c>
      <c r="D38" s="558"/>
      <c r="E38" s="559"/>
      <c r="F38" s="560"/>
    </row>
    <row r="39" spans="2:6" x14ac:dyDescent="0.25">
      <c r="B39" s="196" t="s">
        <v>254</v>
      </c>
      <c r="D39" s="558"/>
      <c r="E39" s="559"/>
      <c r="F39" s="560"/>
    </row>
    <row r="40" spans="2:6" x14ac:dyDescent="0.25">
      <c r="B40" s="196" t="s">
        <v>255</v>
      </c>
      <c r="D40" s="558">
        <v>56</v>
      </c>
      <c r="E40" s="559"/>
      <c r="F40" s="560"/>
    </row>
    <row r="41" spans="2:6" ht="13" thickBot="1" x14ac:dyDescent="0.3">
      <c r="B41" s="206" t="s">
        <v>48</v>
      </c>
      <c r="D41" s="561"/>
      <c r="E41" s="562"/>
      <c r="F41" s="563"/>
    </row>
    <row r="43" spans="2:6" ht="13" thickBot="1" x14ac:dyDescent="0.3"/>
    <row r="44" spans="2:6" ht="13" thickBot="1" x14ac:dyDescent="0.3">
      <c r="B44" s="146" t="s">
        <v>248</v>
      </c>
      <c r="D44" s="202">
        <f>D26</f>
        <v>2023</v>
      </c>
      <c r="E44" s="203">
        <f>E26</f>
        <v>2024</v>
      </c>
      <c r="F44" s="204">
        <f>F26</f>
        <v>2025</v>
      </c>
    </row>
    <row r="45" spans="2:6" ht="13" thickBot="1" x14ac:dyDescent="0.3"/>
    <row r="46" spans="2:6" x14ac:dyDescent="0.25">
      <c r="B46" s="214" t="s">
        <v>41</v>
      </c>
      <c r="D46" s="567" t="e">
        <f>D29*D30/360</f>
        <v>#DIV/0!</v>
      </c>
      <c r="E46" s="568" t="e">
        <f>E29*E30/360</f>
        <v>#DIV/0!</v>
      </c>
      <c r="F46" s="569" t="e">
        <f>F29*F30/360</f>
        <v>#DIV/0!</v>
      </c>
    </row>
    <row r="47" spans="2:6" x14ac:dyDescent="0.25">
      <c r="B47" s="213" t="s">
        <v>265</v>
      </c>
      <c r="D47" s="570">
        <f>('Saisie budget prévisionnel'!E67*'Saisie plan de financement'!D31)/360</f>
        <v>13575.253019915117</v>
      </c>
      <c r="E47" s="571">
        <f>('Saisie budget prévisionnel'!F67*'Saisie plan de financement'!E31)/360</f>
        <v>9866.6666666666661</v>
      </c>
      <c r="F47" s="572">
        <f>('Saisie budget prévisionnel'!G67*'Saisie plan de financement'!F31)/360</f>
        <v>21222.222222222223</v>
      </c>
    </row>
    <row r="48" spans="2:6" x14ac:dyDescent="0.25">
      <c r="B48" s="213" t="s">
        <v>25</v>
      </c>
      <c r="D48" s="570">
        <f>('Saisie budget prévisionnel'!E68*'Saisie plan de financement'!D32)/360</f>
        <v>0</v>
      </c>
      <c r="E48" s="571">
        <f>('Saisie budget prévisionnel'!F68*'Saisie plan de financement'!E32)/360</f>
        <v>1666.6666666666667</v>
      </c>
      <c r="F48" s="572">
        <f>('Saisie budget prévisionnel'!G68*'Saisie plan de financement'!F32)/360</f>
        <v>0</v>
      </c>
    </row>
    <row r="49" spans="2:11" x14ac:dyDescent="0.25">
      <c r="B49" s="213" t="s">
        <v>42</v>
      </c>
      <c r="D49" s="570">
        <f>('Saisie budget prévisionnel'!E69*'Saisie plan de financement'!D33)/360</f>
        <v>291.66666666666669</v>
      </c>
      <c r="E49" s="571">
        <f>('Saisie budget prévisionnel'!F69*'Saisie plan de financement'!E33)/360</f>
        <v>2666.6666666666665</v>
      </c>
      <c r="F49" s="572">
        <f>('Saisie budget prévisionnel'!G69*'Saisie plan de financement'!F33)/360</f>
        <v>2444.4444444444443</v>
      </c>
    </row>
    <row r="50" spans="2:11" x14ac:dyDescent="0.25">
      <c r="B50" s="213" t="s">
        <v>87</v>
      </c>
      <c r="D50" s="570">
        <f>('Saisie budget prévisionnel'!E70*'Saisie plan de financement'!D34)/360</f>
        <v>991.66666666666663</v>
      </c>
      <c r="E50" s="571">
        <f>('Saisie budget prévisionnel'!F70*'Saisie plan de financement'!E34)/360</f>
        <v>1333.3333333333333</v>
      </c>
      <c r="F50" s="572">
        <f>('Saisie budget prévisionnel'!G70*'Saisie plan de financement'!F34)/360</f>
        <v>0</v>
      </c>
    </row>
    <row r="51" spans="2:11" x14ac:dyDescent="0.25">
      <c r="B51" s="213" t="s">
        <v>259</v>
      </c>
      <c r="D51" s="570">
        <f>('Saisie budget prévisionnel'!E71*'Saisie plan de financement'!D35)/360</f>
        <v>0</v>
      </c>
      <c r="E51" s="573">
        <f>('Saisie budget prévisionnel'!F71*'Saisie plan de financement'!E35)/360</f>
        <v>333.33333333333331</v>
      </c>
      <c r="F51" s="574">
        <f>('Saisie budget prévisionnel'!G71*'Saisie plan de financement'!F35)/360</f>
        <v>0</v>
      </c>
    </row>
    <row r="52" spans="2:11" ht="13" thickBot="1" x14ac:dyDescent="0.3">
      <c r="B52" s="213" t="s">
        <v>46</v>
      </c>
      <c r="D52" s="575"/>
      <c r="E52" s="573"/>
      <c r="F52" s="574"/>
    </row>
    <row r="53" spans="2:11" ht="13" thickBot="1" x14ac:dyDescent="0.3">
      <c r="B53" s="279" t="s">
        <v>45</v>
      </c>
      <c r="D53" s="576" t="e">
        <f>SUM(D46:D52)</f>
        <v>#DIV/0!</v>
      </c>
      <c r="E53" s="577" t="e">
        <f t="shared" ref="E53:F53" si="8">SUM(E46:E52)</f>
        <v>#DIV/0!</v>
      </c>
      <c r="F53" s="578" t="e">
        <f t="shared" si="8"/>
        <v>#DIV/0!</v>
      </c>
    </row>
    <row r="54" spans="2:11" ht="13" thickBot="1" x14ac:dyDescent="0.3"/>
    <row r="55" spans="2:11" ht="13" thickBot="1" x14ac:dyDescent="0.3">
      <c r="B55" s="195" t="s">
        <v>15</v>
      </c>
      <c r="D55" s="567">
        <f>('Saisie budget prévisionnel'!E77+'Saisie budget prévisionnel'!E78)*'Saisie plan de financement'!D37/360</f>
        <v>1376.6666666666667</v>
      </c>
      <c r="E55" s="568">
        <f>('Saisie budget prévisionnel'!F77+'Saisie budget prévisionnel'!F78)*'Saisie plan de financement'!E37/360</f>
        <v>875</v>
      </c>
      <c r="F55" s="569">
        <f>('Saisie budget prévisionnel'!G77+'Saisie budget prévisionnel'!G78)*'Saisie plan de financement'!F37/360</f>
        <v>1525</v>
      </c>
      <c r="H55" s="146" t="s">
        <v>262</v>
      </c>
      <c r="I55" s="202">
        <f>D26</f>
        <v>2023</v>
      </c>
      <c r="J55" s="203">
        <f>E26</f>
        <v>2024</v>
      </c>
      <c r="K55" s="204">
        <f>F26</f>
        <v>2025</v>
      </c>
    </row>
    <row r="56" spans="2:11" ht="13" thickBot="1" x14ac:dyDescent="0.3">
      <c r="B56" s="196" t="s">
        <v>253</v>
      </c>
      <c r="D56" s="570">
        <f>'Saisie budget prévisionnel'!E80*'Saisie plan de financement'!D38/360</f>
        <v>0</v>
      </c>
      <c r="E56" s="571">
        <f>'Saisie budget prévisionnel'!F80*'Saisie plan de financement'!E38/360</f>
        <v>0</v>
      </c>
      <c r="F56" s="572">
        <f>'Saisie budget prévisionnel'!G80*'Saisie plan de financement'!F38/360</f>
        <v>0</v>
      </c>
    </row>
    <row r="57" spans="2:11" x14ac:dyDescent="0.25">
      <c r="B57" s="196" t="s">
        <v>254</v>
      </c>
      <c r="D57" s="570">
        <f>'Saisie budget prévisionnel'!E83*'Saisie plan de financement'!D39/360</f>
        <v>0</v>
      </c>
      <c r="E57" s="571">
        <f>'Saisie budget prévisionnel'!F83*'Saisie plan de financement'!E39/360</f>
        <v>0</v>
      </c>
      <c r="F57" s="572">
        <f>'Saisie budget prévisionnel'!G83*'Saisie plan de financement'!F39/360</f>
        <v>0</v>
      </c>
      <c r="H57" s="223" t="s">
        <v>184</v>
      </c>
      <c r="I57" s="567">
        <f>'Saisie budget prévisionnel'!E67*'Données Générales'!$D$15</f>
        <v>0</v>
      </c>
      <c r="J57" s="568">
        <f>'Saisie budget prévisionnel'!F67*'Données Générales'!$D$15</f>
        <v>0</v>
      </c>
      <c r="K57" s="569">
        <f>'Saisie budget prévisionnel'!G67*'Données Générales'!$D$15</f>
        <v>0</v>
      </c>
    </row>
    <row r="58" spans="2:11" x14ac:dyDescent="0.25">
      <c r="B58" s="196" t="s">
        <v>255</v>
      </c>
      <c r="D58" s="570">
        <f>('Saisie budget prévisionnel'!E79+'Saisie budget prévisionnel'!E115)*'Saisie plan de financement'!D40/360</f>
        <v>0</v>
      </c>
      <c r="E58" s="571">
        <f>('Saisie budget prévisionnel'!F79+'Saisie budget prévisionnel'!F115)*'Saisie plan de financement'!E40/360</f>
        <v>0</v>
      </c>
      <c r="F58" s="572">
        <f>('Saisie budget prévisionnel'!G79+'Saisie budget prévisionnel'!G115)*'Saisie plan de financement'!F40/360</f>
        <v>0</v>
      </c>
      <c r="H58" s="224" t="s">
        <v>185</v>
      </c>
      <c r="I58" s="570">
        <f>'Saisie budget prévisionnel'!E104*'Données Générales'!$D$17</f>
        <v>0</v>
      </c>
      <c r="J58" s="571">
        <f>'Saisie budget prévisionnel'!F104*'Données Générales'!$D$17</f>
        <v>0</v>
      </c>
      <c r="K58" s="572">
        <f>'Saisie budget prévisionnel'!G104*'Données Générales'!$D$17</f>
        <v>0</v>
      </c>
    </row>
    <row r="59" spans="2:11" x14ac:dyDescent="0.25">
      <c r="B59" s="196" t="s">
        <v>48</v>
      </c>
      <c r="D59" s="570"/>
      <c r="E59" s="571"/>
      <c r="F59" s="572"/>
      <c r="H59" s="224" t="s">
        <v>186</v>
      </c>
      <c r="I59" s="570">
        <f>('Saisie budget prévisionnel'!E77+'Saisie budget prévisionnel'!E79)*'Données Générales'!$D$16</f>
        <v>0</v>
      </c>
      <c r="J59" s="571">
        <f>('Saisie budget prévisionnel'!F77+'Saisie budget prévisionnel'!F79)*'Données Générales'!$D$16</f>
        <v>0</v>
      </c>
      <c r="K59" s="572">
        <f>('Saisie budget prévisionnel'!G77+'Saisie budget prévisionnel'!G79)*'Données Générales'!$D$16</f>
        <v>0</v>
      </c>
    </row>
    <row r="60" spans="2:11" ht="13" thickBot="1" x14ac:dyDescent="0.3">
      <c r="B60" s="196" t="s">
        <v>77</v>
      </c>
      <c r="D60" s="575"/>
      <c r="E60" s="573"/>
      <c r="F60" s="574"/>
      <c r="H60" s="224" t="s">
        <v>187</v>
      </c>
      <c r="I60" s="570">
        <f>SUM(D8:D12)*'Données Générales'!$D$17</f>
        <v>0</v>
      </c>
      <c r="J60" s="571">
        <f>SUM(E8:E12)*'Données Générales'!$D$17</f>
        <v>0</v>
      </c>
      <c r="K60" s="572">
        <f>SUM(F8:F12)*'Données Générales'!$D$17</f>
        <v>0</v>
      </c>
    </row>
    <row r="61" spans="2:11" ht="13" thickBot="1" x14ac:dyDescent="0.3">
      <c r="B61" s="552" t="s">
        <v>47</v>
      </c>
      <c r="D61" s="576">
        <f>SUM(D55:D60)</f>
        <v>1376.6666666666667</v>
      </c>
      <c r="E61" s="577">
        <f>SUM(E55:E60)</f>
        <v>875</v>
      </c>
      <c r="F61" s="578">
        <f>SUM(F55:F60)</f>
        <v>1525</v>
      </c>
      <c r="H61" s="224" t="s">
        <v>188</v>
      </c>
      <c r="I61" s="644">
        <f>IF(I57+I58-I59-I60&gt;0,I57+I58-I59-I60,0)</f>
        <v>0</v>
      </c>
      <c r="J61" s="645">
        <f t="shared" ref="J61:K61" si="9">IF(J57+J58-J59-J60&gt;0,J57+J58-J59-J60,0)</f>
        <v>0</v>
      </c>
      <c r="K61" s="646">
        <f t="shared" si="9"/>
        <v>0</v>
      </c>
    </row>
    <row r="62" spans="2:11" ht="13" thickBot="1" x14ac:dyDescent="0.3">
      <c r="H62" s="225" t="s">
        <v>189</v>
      </c>
      <c r="I62" s="647">
        <f>IF(I57+I58-I59-I60&lt;0,-(I57+I58-I59-I60),0)</f>
        <v>0</v>
      </c>
      <c r="J62" s="648">
        <f t="shared" ref="J62:K62" si="10">IF(J57+J58-J59-J60&lt;0,-(J57+J58-J59-J60),0)</f>
        <v>0</v>
      </c>
      <c r="K62" s="649">
        <f t="shared" si="10"/>
        <v>0</v>
      </c>
    </row>
    <row r="63" spans="2:11" ht="13" thickBot="1" x14ac:dyDescent="0.3">
      <c r="B63" s="146" t="s">
        <v>58</v>
      </c>
    </row>
    <row r="64" spans="2:11" ht="13" thickBot="1" x14ac:dyDescent="0.3"/>
    <row r="65" spans="2:7" x14ac:dyDescent="0.25">
      <c r="B65" s="214" t="s">
        <v>78</v>
      </c>
      <c r="D65" s="567" t="e">
        <f>D53-D61</f>
        <v>#DIV/0!</v>
      </c>
      <c r="E65" s="568" t="e">
        <f>E53-E61</f>
        <v>#DIV/0!</v>
      </c>
      <c r="F65" s="569" t="e">
        <f>F53-F61</f>
        <v>#DIV/0!</v>
      </c>
    </row>
    <row r="66" spans="2:7" ht="13" thickBot="1" x14ac:dyDescent="0.3">
      <c r="B66" s="213" t="s">
        <v>79</v>
      </c>
      <c r="D66" s="575">
        <f>+'Saisie comptes'!H40</f>
        <v>0</v>
      </c>
      <c r="E66" s="573" t="e">
        <f>D65</f>
        <v>#DIV/0!</v>
      </c>
      <c r="F66" s="574" t="e">
        <f>E65</f>
        <v>#DIV/0!</v>
      </c>
    </row>
    <row r="67" spans="2:7" ht="13" thickBot="1" x14ac:dyDescent="0.3">
      <c r="B67" s="552" t="s">
        <v>80</v>
      </c>
      <c r="D67" s="347" t="e">
        <f>D65-D66</f>
        <v>#DIV/0!</v>
      </c>
      <c r="E67" s="348" t="e">
        <f>E65-E66</f>
        <v>#DIV/0!</v>
      </c>
      <c r="F67" s="349" t="e">
        <f>F65-F66</f>
        <v>#DIV/0!</v>
      </c>
    </row>
    <row r="69" spans="2:7" x14ac:dyDescent="0.25">
      <c r="B69" s="49" t="s">
        <v>347</v>
      </c>
      <c r="C69" s="53"/>
      <c r="D69" s="53"/>
      <c r="E69" s="53"/>
      <c r="F69" s="53"/>
      <c r="G69" s="53"/>
    </row>
    <row r="70" spans="2:7" ht="13" thickBot="1" x14ac:dyDescent="0.3"/>
    <row r="71" spans="2:7" ht="38" thickBot="1" x14ac:dyDescent="0.3">
      <c r="B71" s="267" t="s">
        <v>266</v>
      </c>
      <c r="D71" s="287" t="s">
        <v>276</v>
      </c>
      <c r="E71" s="288" t="s">
        <v>277</v>
      </c>
      <c r="F71" s="297" t="s">
        <v>308</v>
      </c>
    </row>
    <row r="72" spans="2:7" ht="13" thickBot="1" x14ac:dyDescent="0.3">
      <c r="B72" s="240"/>
      <c r="D72" s="262"/>
      <c r="E72" s="262"/>
      <c r="F72" s="262"/>
    </row>
    <row r="73" spans="2:7" x14ac:dyDescent="0.25">
      <c r="B73" s="235" t="s">
        <v>54</v>
      </c>
      <c r="D73" s="579">
        <v>2022</v>
      </c>
      <c r="E73" s="580">
        <v>2023</v>
      </c>
      <c r="F73" s="581">
        <v>2024</v>
      </c>
    </row>
    <row r="74" spans="2:7" x14ac:dyDescent="0.25">
      <c r="B74" s="236" t="s">
        <v>55</v>
      </c>
      <c r="D74" s="582">
        <v>6</v>
      </c>
      <c r="E74" s="583">
        <v>2</v>
      </c>
      <c r="F74" s="584">
        <v>12</v>
      </c>
    </row>
    <row r="75" spans="2:7" x14ac:dyDescent="0.25">
      <c r="B75" s="236" t="s">
        <v>57</v>
      </c>
      <c r="D75" s="585">
        <v>120000</v>
      </c>
      <c r="E75" s="586">
        <v>500000</v>
      </c>
      <c r="F75" s="587">
        <v>20000</v>
      </c>
    </row>
    <row r="76" spans="2:7" x14ac:dyDescent="0.25">
      <c r="B76" s="236" t="s">
        <v>59</v>
      </c>
      <c r="D76" s="588">
        <v>4.0000000000000001E-3</v>
      </c>
      <c r="E76" s="589">
        <v>4.0000000000000001E-3</v>
      </c>
      <c r="F76" s="590">
        <v>4.0000000000000001E-3</v>
      </c>
    </row>
    <row r="77" spans="2:7" x14ac:dyDescent="0.25">
      <c r="B77" s="236" t="s">
        <v>61</v>
      </c>
      <c r="D77" s="591">
        <v>3</v>
      </c>
      <c r="E77" s="592">
        <v>12</v>
      </c>
      <c r="F77" s="593">
        <v>12</v>
      </c>
    </row>
    <row r="78" spans="2:7" x14ac:dyDescent="0.25">
      <c r="B78" s="236" t="s">
        <v>62</v>
      </c>
      <c r="D78" s="582">
        <v>48</v>
      </c>
      <c r="E78" s="583">
        <v>60</v>
      </c>
      <c r="F78" s="584">
        <v>24</v>
      </c>
    </row>
    <row r="79" spans="2:7" ht="13" thickBot="1" x14ac:dyDescent="0.3">
      <c r="B79" s="237" t="s">
        <v>64</v>
      </c>
      <c r="D79" s="594">
        <v>2</v>
      </c>
      <c r="E79" s="595">
        <v>1</v>
      </c>
      <c r="F79" s="596">
        <v>1</v>
      </c>
    </row>
    <row r="80" spans="2:7" ht="13" thickBot="1" x14ac:dyDescent="0.3">
      <c r="B80" s="238"/>
      <c r="D80" s="239"/>
      <c r="E80" s="18"/>
      <c r="F80" s="18"/>
    </row>
    <row r="81" spans="2:7" x14ac:dyDescent="0.25">
      <c r="B81" s="263" t="s">
        <v>68</v>
      </c>
      <c r="D81" s="567">
        <f>IF(D74&gt;D79,D75*((((1+D76)^((D74-D79)/D77))-1)/(((1+D76)^((D78-D79)/D77))-1)),0)</f>
        <v>10145.655941265572</v>
      </c>
      <c r="E81" s="568">
        <f>IF(E74&gt;E79,E75*((((1+E76)^((E74-E79)/E77))-1)/(((1+E76)^((E78-E79)/E77))-1)),0)</f>
        <v>8393.0771977446675</v>
      </c>
      <c r="F81" s="569">
        <f>IF(F74&gt;F79,F75*((((1+F76)^((F74-F79)/F77))-1)/(((1+F76)^((F78-F79)/F77))-1)),0)</f>
        <v>9546.126197474061</v>
      </c>
    </row>
    <row r="82" spans="2:7" x14ac:dyDescent="0.25">
      <c r="B82" s="264" t="s">
        <v>70</v>
      </c>
      <c r="D82" s="570">
        <f>IF(D74+D77&lt;=D79,0,IF((D74+D77&lt;=D78),D75*((((1+D76)^((D74+D77-D79)/D77)))-1)/(((1+D76)^((D78-D79)/D77)-1))-D81,D75-D81))</f>
        <v>7644.7596270635822</v>
      </c>
      <c r="E82" s="571">
        <f>IF(E74+E77&lt;=E79,0,IF((E74+E77&lt;=E78),E75*((((1+E76)^((E74+E77-E79)/E77)))-1)/(((1+E76)^((E78-E79)/E77)-1))-E81,E75-E81))</f>
        <v>100935.01328946633</v>
      </c>
      <c r="F82" s="572">
        <f>IF(F74+F77&lt;=F79,0,IF((F74+F77&lt;=F78),F75*((((1+F76)^((F74+F77-F79)/F77)))-1)/(((1+F76)^((F78-F79)/F77)-1))-F81,F75-F81))</f>
        <v>10453.873802525939</v>
      </c>
    </row>
    <row r="83" spans="2:7" ht="13" thickBot="1" x14ac:dyDescent="0.3">
      <c r="B83" s="265" t="s">
        <v>72</v>
      </c>
      <c r="D83" s="597">
        <f>IF(D74+D77+D77&lt;=D79,0,IF((D74+D77+D77&lt;=D78),D75*((((1+D76)^((D74+D77+D77-D79)/D77)))-1)/(((1+D76)^((D78-D79)/D77)-1))-D81-D82,D75-D81-D82))</f>
        <v>7675.3386655716022</v>
      </c>
      <c r="E83" s="598">
        <f>IF(E74+E77+E77&lt;=E79,0,IF((E74+E77+E77&lt;=E78),E75*((((1+E76)^((E74+E77+E77-E79)/E77)))-1)/(((1+E76)^((E78-E79)/E77)-1))-E81-E82,E75-E81-E82))</f>
        <v>101338.75334262452</v>
      </c>
      <c r="F83" s="599">
        <f>IF(F74+F77+F77&lt;=F79,0,IF((F74+F77+F77&lt;=F78),F75*((((1+F76)^((F74+F77+F77-F79)/F77)))-1)/(((1+F76)^((F78-F79)/F77)-1))-F81-F82,F75-F81-F82))</f>
        <v>0</v>
      </c>
    </row>
    <row r="85" spans="2:7" ht="13" thickBot="1" x14ac:dyDescent="0.3">
      <c r="B85" s="238"/>
      <c r="D85" s="18"/>
      <c r="E85" s="18"/>
      <c r="F85" s="18"/>
    </row>
    <row r="86" spans="2:7" ht="13" thickBot="1" x14ac:dyDescent="0.3">
      <c r="B86" s="246" t="s">
        <v>267</v>
      </c>
      <c r="D86" s="242">
        <f>D6</f>
        <v>2023</v>
      </c>
      <c r="E86" s="244">
        <f>E6</f>
        <v>2024</v>
      </c>
      <c r="F86" s="245">
        <f>F6</f>
        <v>2025</v>
      </c>
    </row>
    <row r="87" spans="2:7" ht="13" thickBot="1" x14ac:dyDescent="0.3">
      <c r="B87" s="240"/>
      <c r="D87" s="241"/>
      <c r="E87" s="241"/>
      <c r="F87" s="241"/>
    </row>
    <row r="88" spans="2:7" x14ac:dyDescent="0.25">
      <c r="B88" s="235" t="str">
        <f>D71</f>
        <v>Emprunt bancaire 1</v>
      </c>
      <c r="D88" s="567">
        <f>IF(D73=D86,D81,0)</f>
        <v>0</v>
      </c>
      <c r="E88" s="568">
        <f>IF(E86=D73,D81,IF(D73=D86,D82,0))</f>
        <v>0</v>
      </c>
      <c r="F88" s="569">
        <f>IF(D73=F86,D81,IF(D73=E86,D82,IF(D73=D86,D83,0)))</f>
        <v>0</v>
      </c>
      <c r="G88" s="18"/>
    </row>
    <row r="89" spans="2:7" x14ac:dyDescent="0.25">
      <c r="B89" s="236" t="str">
        <f>E71</f>
        <v>Emprunt bancaire 2</v>
      </c>
      <c r="D89" s="570">
        <f>IF(D86=E73,E81,0)</f>
        <v>8393.0771977446675</v>
      </c>
      <c r="E89" s="571">
        <f>IF(E73=D86,E82,IF(E73=E86,E81,0))</f>
        <v>100935.01328946633</v>
      </c>
      <c r="F89" s="572">
        <f>IF(F86=E73,E81,IF(E73=E86,E82,IF(E73=D86,E83,0)))</f>
        <v>101338.75334262452</v>
      </c>
      <c r="G89" s="243"/>
    </row>
    <row r="90" spans="2:7" ht="13" thickBot="1" x14ac:dyDescent="0.3">
      <c r="B90" s="266" t="str">
        <f>F71</f>
        <v>Apport en fonds propres avec droit de reprise</v>
      </c>
      <c r="D90" s="575">
        <f>IF(D86=F73,F81,0)</f>
        <v>0</v>
      </c>
      <c r="E90" s="573">
        <f>IF(E86=F73,F81,IF(F73=D86,F82,0))</f>
        <v>9546.126197474061</v>
      </c>
      <c r="F90" s="574">
        <f>IF(F73=F86,F81,IF(F73=E86,F82,IF(F73=D86,F83,0)))</f>
        <v>10453.873802525939</v>
      </c>
      <c r="G90" s="243"/>
    </row>
    <row r="91" spans="2:7" ht="13" thickBot="1" x14ac:dyDescent="0.3">
      <c r="B91" s="267" t="s">
        <v>39</v>
      </c>
      <c r="D91" s="600">
        <f>SUM(D88:D90)</f>
        <v>8393.0771977446675</v>
      </c>
      <c r="E91" s="601">
        <f>SUM(E88:E90)</f>
        <v>110481.13948694039</v>
      </c>
      <c r="F91" s="602">
        <f>SUM(F88:F90)</f>
        <v>111792.62714515046</v>
      </c>
      <c r="G91" s="243"/>
    </row>
    <row r="92" spans="2:7" ht="13" thickBot="1" x14ac:dyDescent="0.3">
      <c r="G92" s="243"/>
    </row>
    <row r="93" spans="2:7" ht="13" thickBot="1" x14ac:dyDescent="0.3">
      <c r="B93" s="246" t="s">
        <v>268</v>
      </c>
      <c r="D93" s="242">
        <f>D86</f>
        <v>2023</v>
      </c>
      <c r="E93" s="244">
        <f t="shared" ref="E93:F93" si="11">E86</f>
        <v>2024</v>
      </c>
      <c r="F93" s="245">
        <f t="shared" si="11"/>
        <v>2025</v>
      </c>
    </row>
    <row r="94" spans="2:7" ht="13" thickBot="1" x14ac:dyDescent="0.3"/>
    <row r="95" spans="2:7" x14ac:dyDescent="0.25">
      <c r="B95" s="235" t="s">
        <v>278</v>
      </c>
      <c r="D95" s="539">
        <v>12000</v>
      </c>
      <c r="E95" s="534">
        <v>12000</v>
      </c>
      <c r="F95" s="540">
        <v>12000</v>
      </c>
    </row>
    <row r="96" spans="2:7" x14ac:dyDescent="0.25">
      <c r="B96" s="236" t="s">
        <v>279</v>
      </c>
      <c r="D96" s="389"/>
      <c r="E96" s="390"/>
      <c r="F96" s="391"/>
    </row>
    <row r="97" spans="2:11" ht="13" thickBot="1" x14ac:dyDescent="0.3">
      <c r="B97" s="248" t="s">
        <v>66</v>
      </c>
      <c r="D97" s="541"/>
      <c r="E97" s="535"/>
      <c r="F97" s="542"/>
    </row>
    <row r="98" spans="2:11" ht="13" thickBot="1" x14ac:dyDescent="0.3">
      <c r="B98" s="268" t="s">
        <v>39</v>
      </c>
      <c r="D98" s="347">
        <f>SUM(D95:D97)</f>
        <v>12000</v>
      </c>
      <c r="E98" s="348">
        <f t="shared" ref="E98:F98" si="12">SUM(E95:E97)</f>
        <v>12000</v>
      </c>
      <c r="F98" s="349">
        <f t="shared" si="12"/>
        <v>12000</v>
      </c>
    </row>
    <row r="99" spans="2:11" ht="13" thickBot="1" x14ac:dyDescent="0.3"/>
    <row r="100" spans="2:11" ht="13" thickBot="1" x14ac:dyDescent="0.3">
      <c r="B100" s="643" t="s">
        <v>269</v>
      </c>
      <c r="D100" s="347">
        <f>D98+D91</f>
        <v>20393.077197744668</v>
      </c>
      <c r="E100" s="348">
        <f t="shared" ref="E100:F100" si="13">E98+E91</f>
        <v>122481.13948694039</v>
      </c>
      <c r="F100" s="349">
        <f t="shared" si="13"/>
        <v>123792.62714515046</v>
      </c>
    </row>
    <row r="102" spans="2:11" x14ac:dyDescent="0.25">
      <c r="B102" s="49" t="s">
        <v>270</v>
      </c>
      <c r="C102" s="53"/>
      <c r="D102" s="53"/>
      <c r="E102" s="53"/>
      <c r="F102" s="53"/>
      <c r="G102" s="53"/>
      <c r="H102" s="56"/>
      <c r="I102" s="56"/>
      <c r="J102" s="56"/>
      <c r="K102" s="231"/>
    </row>
    <row r="103" spans="2:11" ht="13" thickBot="1" x14ac:dyDescent="0.3">
      <c r="H103" s="56"/>
      <c r="I103" s="56"/>
      <c r="J103" s="56"/>
      <c r="K103" s="231"/>
    </row>
    <row r="104" spans="2:11" ht="13" thickBot="1" x14ac:dyDescent="0.3">
      <c r="D104" s="202">
        <f>D93</f>
        <v>2023</v>
      </c>
      <c r="E104" s="203">
        <f t="shared" ref="E104:F104" si="14">E93</f>
        <v>2024</v>
      </c>
      <c r="F104" s="204">
        <f t="shared" si="14"/>
        <v>2025</v>
      </c>
      <c r="H104" s="56"/>
      <c r="I104" s="56"/>
      <c r="J104" s="56"/>
      <c r="K104" s="231"/>
    </row>
    <row r="105" spans="2:11" ht="13" thickBot="1" x14ac:dyDescent="0.3">
      <c r="G105" s="228"/>
      <c r="H105" s="56"/>
      <c r="I105" s="228"/>
      <c r="J105" s="228"/>
      <c r="K105" s="228"/>
    </row>
    <row r="106" spans="2:11" x14ac:dyDescent="0.25">
      <c r="B106" s="247" t="s">
        <v>53</v>
      </c>
      <c r="D106" s="606">
        <f>D13</f>
        <v>28500</v>
      </c>
      <c r="E106" s="607">
        <f>E13</f>
        <v>5000</v>
      </c>
      <c r="F106" s="608">
        <f>F13</f>
        <v>48200</v>
      </c>
      <c r="G106" s="56"/>
      <c r="H106" s="56"/>
      <c r="I106" s="56"/>
      <c r="J106" s="56"/>
      <c r="K106" s="56"/>
    </row>
    <row r="107" spans="2:11" x14ac:dyDescent="0.25">
      <c r="B107" s="248" t="s">
        <v>56</v>
      </c>
      <c r="C107" s="227"/>
      <c r="D107" s="609">
        <f>D100</f>
        <v>20393.077197744668</v>
      </c>
      <c r="E107" s="610">
        <f t="shared" ref="E107:F107" si="15">E100</f>
        <v>122481.13948694039</v>
      </c>
      <c r="F107" s="611">
        <f t="shared" si="15"/>
        <v>123792.62714515046</v>
      </c>
      <c r="G107" s="56"/>
      <c r="H107" s="56"/>
      <c r="I107" s="56"/>
      <c r="J107" s="56"/>
      <c r="K107" s="56"/>
    </row>
    <row r="108" spans="2:11" x14ac:dyDescent="0.25">
      <c r="B108" s="248" t="s">
        <v>280</v>
      </c>
      <c r="C108" s="227"/>
      <c r="D108" s="612">
        <f>I61</f>
        <v>0</v>
      </c>
      <c r="E108" s="613">
        <f t="shared" ref="E108:F108" si="16">J61</f>
        <v>0</v>
      </c>
      <c r="F108" s="614">
        <f t="shared" si="16"/>
        <v>0</v>
      </c>
      <c r="G108" s="228"/>
      <c r="H108" s="56"/>
      <c r="I108" s="228"/>
      <c r="J108" s="228"/>
      <c r="K108" s="228"/>
    </row>
    <row r="109" spans="2:11" ht="13" thickBot="1" x14ac:dyDescent="0.3">
      <c r="B109" s="33" t="s">
        <v>58</v>
      </c>
      <c r="C109" s="56"/>
      <c r="D109" s="615" t="e">
        <f>D67</f>
        <v>#DIV/0!</v>
      </c>
      <c r="E109" s="616" t="e">
        <f>E67</f>
        <v>#DIV/0!</v>
      </c>
      <c r="F109" s="617" t="e">
        <f>F67</f>
        <v>#DIV/0!</v>
      </c>
      <c r="G109" s="228"/>
      <c r="H109" s="56"/>
      <c r="I109" s="228"/>
      <c r="J109" s="228"/>
      <c r="K109" s="228"/>
    </row>
    <row r="110" spans="2:11" ht="13" thickBot="1" x14ac:dyDescent="0.3">
      <c r="B110" s="20" t="s">
        <v>60</v>
      </c>
      <c r="D110" s="259" t="e">
        <f>D106+D107+D109</f>
        <v>#DIV/0!</v>
      </c>
      <c r="E110" s="260" t="e">
        <f t="shared" ref="E110:F110" si="17">E106+E107+E109</f>
        <v>#DIV/0!</v>
      </c>
      <c r="F110" s="261" t="e">
        <f t="shared" si="17"/>
        <v>#DIV/0!</v>
      </c>
      <c r="G110" s="230"/>
      <c r="H110" s="56"/>
      <c r="I110" s="232"/>
      <c r="J110" s="232"/>
      <c r="K110" s="232"/>
    </row>
    <row r="111" spans="2:11" ht="13" thickBot="1" x14ac:dyDescent="0.3">
      <c r="D111" s="229"/>
      <c r="E111" s="230"/>
      <c r="F111" s="230"/>
      <c r="G111" s="230"/>
      <c r="H111" s="56"/>
      <c r="I111" s="232"/>
      <c r="J111" s="233"/>
      <c r="K111" s="232"/>
    </row>
    <row r="112" spans="2:11" x14ac:dyDescent="0.25">
      <c r="B112" s="247" t="s">
        <v>63</v>
      </c>
      <c r="D112" s="618"/>
      <c r="E112" s="619"/>
      <c r="F112" s="620"/>
      <c r="G112" s="230"/>
      <c r="H112" s="56"/>
      <c r="I112" s="232"/>
      <c r="J112" s="232"/>
      <c r="K112" s="232"/>
    </row>
    <row r="113" spans="1:11" x14ac:dyDescent="0.25">
      <c r="B113" s="248" t="s">
        <v>65</v>
      </c>
      <c r="D113" s="621"/>
      <c r="E113" s="622"/>
      <c r="F113" s="623"/>
      <c r="G113" s="230"/>
      <c r="H113" s="56"/>
      <c r="I113" s="232"/>
      <c r="J113" s="232"/>
      <c r="K113" s="232"/>
    </row>
    <row r="114" spans="1:11" x14ac:dyDescent="0.25">
      <c r="B114" s="248" t="s">
        <v>66</v>
      </c>
      <c r="D114" s="624">
        <f>D90</f>
        <v>0</v>
      </c>
      <c r="E114" s="625">
        <f t="shared" ref="E114:F114" si="18">E90</f>
        <v>9546.126197474061</v>
      </c>
      <c r="F114" s="626">
        <f t="shared" si="18"/>
        <v>10453.873802525939</v>
      </c>
      <c r="G114" s="230"/>
      <c r="H114" s="56"/>
      <c r="I114" s="232"/>
      <c r="J114" s="232"/>
      <c r="K114" s="232"/>
    </row>
    <row r="115" spans="1:11" x14ac:dyDescent="0.25">
      <c r="B115" s="248" t="s">
        <v>67</v>
      </c>
      <c r="D115" s="624">
        <f>D88+D89</f>
        <v>8393.0771977446675</v>
      </c>
      <c r="E115" s="625">
        <f t="shared" ref="E115:F115" si="19">E88+E89</f>
        <v>100935.01328946633</v>
      </c>
      <c r="F115" s="626">
        <f t="shared" si="19"/>
        <v>101338.75334262452</v>
      </c>
      <c r="G115" s="230"/>
      <c r="H115" s="56"/>
      <c r="I115" s="232"/>
      <c r="J115" s="232"/>
      <c r="K115" s="232"/>
    </row>
    <row r="116" spans="1:11" x14ac:dyDescent="0.25">
      <c r="B116" s="248" t="s">
        <v>69</v>
      </c>
      <c r="D116" s="627"/>
      <c r="E116" s="628"/>
      <c r="F116" s="629"/>
    </row>
    <row r="117" spans="1:11" x14ac:dyDescent="0.25">
      <c r="B117" s="248" t="s">
        <v>71</v>
      </c>
      <c r="D117" s="630">
        <f>'Saisie budget prévisionnel'!E118</f>
        <v>24238.638589618029</v>
      </c>
      <c r="E117" s="631">
        <f>'Saisie budget prévisionnel'!F118</f>
        <v>30000.000000000007</v>
      </c>
      <c r="F117" s="632">
        <f>'Saisie budget prévisionnel'!G118</f>
        <v>37349.999999999993</v>
      </c>
      <c r="G117" s="230"/>
      <c r="H117" s="56"/>
      <c r="I117" s="232"/>
      <c r="J117" s="232"/>
      <c r="K117" s="232"/>
    </row>
    <row r="118" spans="1:11" ht="13" thickBot="1" x14ac:dyDescent="0.3">
      <c r="B118" s="248" t="s">
        <v>73</v>
      </c>
      <c r="D118" s="633"/>
      <c r="E118" s="622"/>
      <c r="F118" s="623"/>
    </row>
    <row r="119" spans="1:11" ht="13" thickBot="1" x14ac:dyDescent="0.3">
      <c r="B119" s="634" t="s">
        <v>74</v>
      </c>
      <c r="D119" s="259">
        <f>SUM(D112:D118)</f>
        <v>32631.715787362697</v>
      </c>
      <c r="E119" s="260">
        <f t="shared" ref="E119:F119" si="20">SUM(E112:E118)</f>
        <v>140481.1394869404</v>
      </c>
      <c r="F119" s="261">
        <f t="shared" si="20"/>
        <v>149142.62714515044</v>
      </c>
      <c r="G119" s="230"/>
      <c r="H119" s="56"/>
      <c r="I119" s="232"/>
      <c r="J119" s="232"/>
      <c r="K119" s="232"/>
    </row>
    <row r="120" spans="1:11" ht="13" thickBot="1" x14ac:dyDescent="0.3">
      <c r="A120" s="234"/>
      <c r="D120" s="58"/>
      <c r="E120" s="230"/>
      <c r="F120" s="230"/>
    </row>
    <row r="121" spans="1:11" x14ac:dyDescent="0.25">
      <c r="A121" s="227"/>
      <c r="B121" s="635" t="s">
        <v>75</v>
      </c>
      <c r="D121" s="637" t="e">
        <f>D119-D110</f>
        <v>#DIV/0!</v>
      </c>
      <c r="E121" s="638" t="e">
        <f t="shared" ref="E121:F121" si="21">E119-E110</f>
        <v>#DIV/0!</v>
      </c>
      <c r="F121" s="639" t="e">
        <f t="shared" si="21"/>
        <v>#DIV/0!</v>
      </c>
      <c r="G121" s="230"/>
      <c r="H121" s="56"/>
      <c r="I121" s="232"/>
      <c r="J121" s="232"/>
      <c r="K121" s="232"/>
    </row>
    <row r="122" spans="1:11" ht="13" thickBot="1" x14ac:dyDescent="0.3">
      <c r="A122" s="67"/>
      <c r="B122" s="636" t="s">
        <v>76</v>
      </c>
      <c r="D122" s="640" t="e">
        <f>D121+'Saisie comptes'!H42</f>
        <v>#DIV/0!</v>
      </c>
      <c r="E122" s="641" t="e">
        <f>E121+D122</f>
        <v>#DIV/0!</v>
      </c>
      <c r="F122" s="642" t="e">
        <f>F121+E122</f>
        <v>#DIV/0!</v>
      </c>
    </row>
    <row r="123" spans="1:11" x14ac:dyDescent="0.25">
      <c r="G123" s="230"/>
      <c r="H123" s="56"/>
      <c r="I123" s="232"/>
      <c r="J123" s="232"/>
      <c r="K123" s="232"/>
    </row>
    <row r="124" spans="1:11" x14ac:dyDescent="0.25">
      <c r="B124" s="234"/>
      <c r="C124" s="234"/>
      <c r="D124" s="234"/>
      <c r="E124" s="234"/>
      <c r="F124" s="234"/>
      <c r="G124" s="230"/>
      <c r="H124" s="56"/>
      <c r="I124" s="232"/>
      <c r="J124" s="232"/>
      <c r="K124" s="232"/>
    </row>
    <row r="126" spans="1:11" x14ac:dyDescent="0.25">
      <c r="B126" s="234"/>
      <c r="C126" s="234"/>
      <c r="D126" s="234"/>
      <c r="E126" s="234"/>
      <c r="F126" s="234"/>
      <c r="G126" s="230"/>
      <c r="H126" s="56"/>
      <c r="I126" s="232"/>
      <c r="J126" s="232"/>
      <c r="K126" s="232"/>
    </row>
    <row r="128" spans="1:11" x14ac:dyDescent="0.25">
      <c r="B128" s="234"/>
      <c r="C128" s="234"/>
      <c r="D128" s="234"/>
      <c r="E128" s="234"/>
      <c r="F128" s="234"/>
      <c r="G128" s="230"/>
      <c r="H128" s="56"/>
      <c r="I128" s="232"/>
      <c r="J128" s="232"/>
      <c r="K128" s="232"/>
    </row>
    <row r="130" spans="1:11" x14ac:dyDescent="0.25">
      <c r="B130" s="234"/>
      <c r="C130" s="234"/>
      <c r="D130" s="234"/>
      <c r="E130" s="234"/>
      <c r="F130" s="234"/>
      <c r="G130" s="230"/>
      <c r="H130" s="56"/>
      <c r="I130" s="232"/>
      <c r="J130" s="232"/>
      <c r="K130" s="232"/>
    </row>
    <row r="132" spans="1:11" x14ac:dyDescent="0.25">
      <c r="B132" s="234"/>
      <c r="C132" s="234"/>
      <c r="D132" s="234"/>
      <c r="E132" s="234"/>
      <c r="F132" s="234"/>
      <c r="G132" s="230"/>
      <c r="H132" s="56"/>
      <c r="I132" s="232"/>
      <c r="J132" s="232"/>
      <c r="K132" s="232"/>
    </row>
    <row r="134" spans="1:11" x14ac:dyDescent="0.25">
      <c r="B134" s="234"/>
      <c r="C134" s="234"/>
      <c r="D134" s="234"/>
      <c r="E134" s="234"/>
      <c r="F134" s="234"/>
      <c r="G134" s="230"/>
      <c r="H134" s="56"/>
      <c r="I134" s="232"/>
      <c r="J134" s="232"/>
      <c r="K134" s="232"/>
    </row>
    <row r="136" spans="1:11" x14ac:dyDescent="0.25">
      <c r="B136" s="234"/>
      <c r="C136" s="234"/>
      <c r="D136" s="234"/>
      <c r="E136" s="234"/>
      <c r="F136" s="234"/>
      <c r="G136" s="230"/>
      <c r="H136" s="56"/>
      <c r="I136" s="232"/>
      <c r="J136" s="232"/>
      <c r="K136" s="232"/>
    </row>
    <row r="138" spans="1:11" x14ac:dyDescent="0.25">
      <c r="B138" s="234"/>
      <c r="C138" s="234"/>
      <c r="D138" s="234"/>
      <c r="E138" s="234"/>
      <c r="F138" s="234"/>
      <c r="G138" s="230"/>
      <c r="H138" s="56"/>
      <c r="I138" s="232"/>
      <c r="J138" s="232"/>
      <c r="K138" s="232"/>
    </row>
    <row r="140" spans="1:11" x14ac:dyDescent="0.25">
      <c r="B140" s="234"/>
      <c r="C140" s="234"/>
      <c r="D140" s="234"/>
      <c r="E140" s="234"/>
      <c r="F140" s="234"/>
      <c r="G140" s="230"/>
      <c r="H140" s="56"/>
      <c r="I140" s="232"/>
      <c r="J140" s="232"/>
      <c r="K140" s="232"/>
    </row>
    <row r="142" spans="1:11" x14ac:dyDescent="0.25">
      <c r="B142" s="234"/>
      <c r="C142" s="234"/>
      <c r="D142" s="234"/>
      <c r="E142" s="234"/>
      <c r="F142" s="234"/>
      <c r="G142" s="230"/>
      <c r="H142" s="56"/>
      <c r="I142" s="232"/>
      <c r="J142" s="232"/>
      <c r="K142" s="232"/>
    </row>
    <row r="143" spans="1:11" x14ac:dyDescent="0.25">
      <c r="A143" s="227"/>
    </row>
    <row r="144" spans="1:11" x14ac:dyDescent="0.25">
      <c r="B144" s="234"/>
      <c r="C144" s="234"/>
      <c r="D144" s="234"/>
      <c r="E144" s="234"/>
      <c r="F144" s="234"/>
      <c r="G144" s="230"/>
      <c r="H144" s="56"/>
      <c r="I144" s="232"/>
      <c r="J144" s="232"/>
      <c r="K144" s="232"/>
    </row>
    <row r="146" spans="1:11" x14ac:dyDescent="0.25">
      <c r="A146" s="57"/>
      <c r="B146" s="234"/>
      <c r="C146" s="234"/>
      <c r="D146" s="234"/>
      <c r="E146" s="234"/>
      <c r="F146" s="234"/>
      <c r="G146" s="230"/>
      <c r="H146" s="56"/>
      <c r="I146" s="232"/>
      <c r="J146" s="232"/>
      <c r="K146" s="232"/>
    </row>
    <row r="147" spans="1:11" x14ac:dyDescent="0.25">
      <c r="A147" s="57"/>
    </row>
    <row r="148" spans="1:11" x14ac:dyDescent="0.25">
      <c r="A148" s="57"/>
      <c r="B148" s="234"/>
      <c r="C148" s="234"/>
      <c r="D148" s="234"/>
      <c r="E148" s="234"/>
      <c r="F148" s="234"/>
      <c r="G148" s="230"/>
      <c r="H148" s="56"/>
      <c r="I148" s="232"/>
      <c r="J148" s="232"/>
      <c r="K148" s="232"/>
    </row>
    <row r="149" spans="1:11" x14ac:dyDescent="0.25">
      <c r="A149" s="57"/>
    </row>
    <row r="150" spans="1:11" x14ac:dyDescent="0.25">
      <c r="A150" s="57"/>
      <c r="B150" s="234"/>
      <c r="C150" s="234"/>
      <c r="D150" s="234"/>
      <c r="E150" s="234"/>
      <c r="F150" s="234"/>
      <c r="G150" s="230"/>
      <c r="H150" s="56"/>
      <c r="I150" s="232"/>
      <c r="J150" s="232"/>
      <c r="K150" s="232"/>
    </row>
    <row r="151" spans="1:11" x14ac:dyDescent="0.25">
      <c r="A151" s="57"/>
    </row>
    <row r="152" spans="1:11" x14ac:dyDescent="0.25">
      <c r="A152" s="9"/>
      <c r="B152" s="234"/>
      <c r="C152" s="234"/>
      <c r="D152" s="234"/>
      <c r="E152" s="234"/>
      <c r="F152" s="234"/>
      <c r="G152" s="230"/>
      <c r="H152" s="56"/>
      <c r="I152" s="232"/>
      <c r="J152" s="232"/>
      <c r="K152" s="232"/>
    </row>
    <row r="154" spans="1:11" x14ac:dyDescent="0.25">
      <c r="B154" s="234"/>
      <c r="C154" s="234"/>
      <c r="D154" s="234"/>
      <c r="E154" s="234"/>
      <c r="F154" s="234"/>
      <c r="G154" s="230"/>
      <c r="H154" s="56"/>
      <c r="I154" s="232"/>
      <c r="J154" s="232"/>
      <c r="K154" s="232"/>
    </row>
    <row r="155" spans="1:11" x14ac:dyDescent="0.25">
      <c r="A155" s="52"/>
    </row>
    <row r="156" spans="1:11" x14ac:dyDescent="0.25">
      <c r="A156" s="58"/>
      <c r="B156" s="234"/>
      <c r="C156" s="234"/>
      <c r="D156" s="234"/>
      <c r="E156" s="234"/>
      <c r="F156" s="234"/>
      <c r="G156" s="230"/>
      <c r="H156" s="56"/>
      <c r="I156" s="232"/>
      <c r="J156" s="232"/>
      <c r="K156" s="232"/>
    </row>
    <row r="157" spans="1:11" x14ac:dyDescent="0.25">
      <c r="A157" s="58"/>
    </row>
    <row r="158" spans="1:11" x14ac:dyDescent="0.25">
      <c r="A158" s="58"/>
      <c r="B158" s="234"/>
      <c r="C158" s="234"/>
      <c r="D158" s="234"/>
      <c r="E158" s="234"/>
      <c r="F158" s="234"/>
      <c r="G158" s="230"/>
      <c r="H158" s="56"/>
      <c r="I158" s="232"/>
      <c r="J158" s="232"/>
      <c r="K158" s="232"/>
    </row>
    <row r="159" spans="1:11" x14ac:dyDescent="0.25">
      <c r="A159" s="58"/>
    </row>
    <row r="160" spans="1:11" x14ac:dyDescent="0.25">
      <c r="A160" s="52"/>
      <c r="B160" s="234"/>
      <c r="C160" s="234"/>
      <c r="D160" s="234"/>
      <c r="E160" s="234"/>
      <c r="F160" s="234"/>
      <c r="G160" s="230"/>
      <c r="H160" s="56"/>
      <c r="I160" s="232"/>
      <c r="J160" s="232"/>
      <c r="K160" s="232"/>
    </row>
    <row r="161" spans="1:11" x14ac:dyDescent="0.25">
      <c r="A161" s="52"/>
    </row>
    <row r="162" spans="1:11" x14ac:dyDescent="0.25">
      <c r="A162" s="52"/>
      <c r="B162" s="234"/>
      <c r="C162" s="234"/>
      <c r="D162" s="234"/>
      <c r="E162" s="234"/>
      <c r="F162" s="234"/>
      <c r="G162" s="230"/>
      <c r="H162" s="56"/>
      <c r="I162" s="232"/>
      <c r="J162" s="232"/>
      <c r="K162" s="232"/>
    </row>
    <row r="163" spans="1:11" x14ac:dyDescent="0.25">
      <c r="A163" s="9"/>
    </row>
    <row r="164" spans="1:11" x14ac:dyDescent="0.25">
      <c r="A164" s="18"/>
      <c r="B164" s="234"/>
      <c r="C164" s="234"/>
      <c r="D164" s="234"/>
      <c r="E164" s="234"/>
      <c r="F164" s="234"/>
      <c r="G164" s="230"/>
      <c r="H164" s="56"/>
      <c r="I164" s="232"/>
      <c r="J164" s="232"/>
      <c r="K164" s="232"/>
    </row>
    <row r="165" spans="1:11" x14ac:dyDescent="0.25">
      <c r="A165" s="57"/>
    </row>
    <row r="166" spans="1:11" x14ac:dyDescent="0.25">
      <c r="A166" s="57"/>
      <c r="B166" s="234"/>
      <c r="C166" s="234"/>
      <c r="D166" s="234"/>
      <c r="E166" s="234"/>
      <c r="F166" s="234"/>
      <c r="G166" s="230"/>
      <c r="H166" s="56"/>
      <c r="I166" s="232"/>
      <c r="J166" s="232"/>
      <c r="K166" s="232"/>
    </row>
    <row r="167" spans="1:11" x14ac:dyDescent="0.25">
      <c r="A167" s="9"/>
    </row>
    <row r="168" spans="1:11" x14ac:dyDescent="0.25">
      <c r="A168" s="18"/>
      <c r="B168" s="234"/>
      <c r="C168" s="234"/>
      <c r="D168" s="234"/>
      <c r="E168" s="234"/>
      <c r="F168" s="234"/>
      <c r="G168" s="230"/>
      <c r="H168" s="56"/>
      <c r="I168" s="232"/>
      <c r="J168" s="232"/>
      <c r="K168" s="232"/>
    </row>
    <row r="169" spans="1:11" x14ac:dyDescent="0.25">
      <c r="A169" s="18"/>
    </row>
    <row r="170" spans="1:11" x14ac:dyDescent="0.25">
      <c r="G170" s="230"/>
      <c r="H170" s="56"/>
      <c r="I170" s="232"/>
      <c r="J170" s="232"/>
      <c r="K170" s="232"/>
    </row>
  </sheetData>
  <mergeCells count="4">
    <mergeCell ref="J21:K21"/>
    <mergeCell ref="J22:K22"/>
    <mergeCell ref="J23:K23"/>
    <mergeCell ref="J14:K14"/>
  </mergeCells>
  <pageMargins left="0.70866141732283472" right="0.70866141732283472"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Données Générales</vt:lpstr>
      <vt:lpstr>Saisie comptes</vt:lpstr>
      <vt:lpstr>Pour aller plus loin...</vt:lpstr>
      <vt:lpstr>Synthèse analyse</vt:lpstr>
      <vt:lpstr>Courbes et graphiques</vt:lpstr>
      <vt:lpstr>Saisie budget prévisionnel</vt:lpstr>
      <vt:lpstr>Détails construc budget prev</vt:lpstr>
      <vt:lpstr>Saisie prévisionnel de tréso</vt:lpstr>
      <vt:lpstr>Saisie plan de financement</vt:lpstr>
      <vt:lpstr>Synthèse prévisionnels</vt:lpstr>
      <vt:lpstr>Feuil1</vt:lpstr>
      <vt:lpstr>'Saisie comptes'!Zone_d_impression</vt:lpstr>
      <vt:lpstr>'Saisie prévisionnel de tréso'!Zone_d_impression</vt:lpstr>
      <vt:lpstr>'Synthèse analyse'!Zone_d_impression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Administration_ai</dc:creator>
  <cp:lastModifiedBy>marie.robic@lerif.org</cp:lastModifiedBy>
  <cp:lastPrinted>2019-04-05T08:55:38Z</cp:lastPrinted>
  <dcterms:created xsi:type="dcterms:W3CDTF">2018-04-17T14:27:35Z</dcterms:created>
  <dcterms:modified xsi:type="dcterms:W3CDTF">2023-09-12T12:23:26Z</dcterms:modified>
</cp:coreProperties>
</file>